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929" activeTab="5"/>
  </bookViews>
  <sheets>
    <sheet name="Приложение 2" sheetId="1" r:id="rId1"/>
    <sheet name="Приложение 3" sheetId="2" r:id="rId2"/>
    <sheet name="Приложение 4" sheetId="3" r:id="rId3"/>
    <sheet name="По средствам 024" sheetId="4" r:id="rId4"/>
    <sheet name="По средствам 052" sheetId="5" r:id="rId5"/>
    <sheet name="форма 2" sheetId="6" r:id="rId6"/>
  </sheets>
  <definedNames>
    <definedName name="_xlnm.Print_Area" localSheetId="3">'По средствам 024'!$A$1:$E$42</definedName>
    <definedName name="_xlnm.Print_Area" localSheetId="4">'По средствам 052'!$A$1:$E$42</definedName>
    <definedName name="_xlnm.Print_Area" localSheetId="0">'Приложение 2'!$A$1:$I$85</definedName>
    <definedName name="_xlnm.Print_Area" localSheetId="1">'Приложение 3'!$A$1:$G$54</definedName>
    <definedName name="_xlnm.Print_Area" localSheetId="2">'Приложение 4'!$A$1:$G$84</definedName>
    <definedName name="_xlnm.Print_Area" localSheetId="5">'форма 2'!$A$1:$H$52</definedName>
  </definedNames>
  <calcPr fullCalcOnLoad="1"/>
</workbook>
</file>

<file path=xl/sharedStrings.xml><?xml version="1.0" encoding="utf-8"?>
<sst xmlns="http://schemas.openxmlformats.org/spreadsheetml/2006/main" count="615" uniqueCount="386">
  <si>
    <t>II. ДОЛГОСРОЧНЫЕ АКТИВЫ</t>
  </si>
  <si>
    <t>027</t>
  </si>
  <si>
    <t>III Краткосрочные обязательства</t>
  </si>
  <si>
    <t>IY. Долгосрочные обязательства</t>
  </si>
  <si>
    <t>Y. Капитал</t>
  </si>
  <si>
    <t xml:space="preserve"> </t>
  </si>
  <si>
    <t>I. КРАТКОСРОЧНЫЕ АКТИВЫ</t>
  </si>
  <si>
    <t>Инвестиции, учитываемые методом долевого участия</t>
  </si>
  <si>
    <t>Биологические активы</t>
  </si>
  <si>
    <t>Разведочные и оценочные активы</t>
  </si>
  <si>
    <t>Отложенные налоговые активы</t>
  </si>
  <si>
    <t>Прочие долгосрочные активы</t>
  </si>
  <si>
    <t>Отложенные налоговые обязательства</t>
  </si>
  <si>
    <t>Эмиссионный доход</t>
  </si>
  <si>
    <t>Выкупленные собственные долевые инструменты</t>
  </si>
  <si>
    <t>400</t>
  </si>
  <si>
    <t>500</t>
  </si>
  <si>
    <t>300</t>
  </si>
  <si>
    <t>121</t>
  </si>
  <si>
    <t>Компенсационные выплаты</t>
  </si>
  <si>
    <t>Наименование организации</t>
  </si>
  <si>
    <t>Код</t>
  </si>
  <si>
    <t>Наименование</t>
  </si>
  <si>
    <t xml:space="preserve">специфики </t>
  </si>
  <si>
    <t>специ-</t>
  </si>
  <si>
    <t>расходов</t>
  </si>
  <si>
    <t xml:space="preserve">фики </t>
  </si>
  <si>
    <t>ния на год</t>
  </si>
  <si>
    <t>платежам</t>
  </si>
  <si>
    <t>Дополнительные денежные выплаты</t>
  </si>
  <si>
    <t>Социальные отчисления в Государственный фонд социального страхования</t>
  </si>
  <si>
    <t>Приобретение продуктов питания</t>
  </si>
  <si>
    <t>Оплата коммунальных услуг</t>
  </si>
  <si>
    <t>Оплата услуг связи</t>
  </si>
  <si>
    <t>Командировки и служебные разъезды внутри страны</t>
  </si>
  <si>
    <t>(тыс. тенге)</t>
  </si>
  <si>
    <t>Прочие текущие затраты</t>
  </si>
  <si>
    <t>Стипендии</t>
  </si>
  <si>
    <t>Социальный налог</t>
  </si>
  <si>
    <t>На конец отчётного периода</t>
  </si>
  <si>
    <t>На начало отчётного периода</t>
  </si>
  <si>
    <t>АКТИВЫ</t>
  </si>
  <si>
    <t>010</t>
  </si>
  <si>
    <t>011</t>
  </si>
  <si>
    <t>020</t>
  </si>
  <si>
    <t>030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</si>
  <si>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</si>
  <si>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</si>
  <si>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</si>
  <si>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</si>
  <si>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</si>
  <si>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</si>
  <si>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</si>
  <si>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</si>
  <si>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</si>
  <si>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070</t>
  </si>
  <si>
    <t>071</t>
  </si>
  <si>
    <t>080</t>
  </si>
  <si>
    <t>090</t>
  </si>
  <si>
    <t>100</t>
  </si>
  <si>
    <t>101</t>
  </si>
  <si>
    <t>110</t>
  </si>
  <si>
    <t>120</t>
  </si>
  <si>
    <t>130</t>
  </si>
  <si>
    <t>140</t>
  </si>
  <si>
    <t>150</t>
  </si>
  <si>
    <t>200</t>
  </si>
  <si>
    <t>210</t>
  </si>
  <si>
    <t>в том числе:</t>
  </si>
  <si>
    <t>За предыдущий период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</si>
  <si>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</si>
  <si>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</si>
  <si>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</si>
  <si>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</si>
  <si>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</si>
  <si>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</si>
  <si>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</si>
  <si>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</si>
  <si>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</si>
  <si>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</si>
  <si>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</si>
  <si>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</si>
  <si>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Трансферты физическим лицам</t>
  </si>
  <si>
    <t xml:space="preserve">Резервы  </t>
  </si>
  <si>
    <t>067</t>
  </si>
  <si>
    <t>Приложение 2</t>
  </si>
  <si>
    <t>к приказу Министра финансов</t>
  </si>
  <si>
    <t>Республики Казахстан</t>
  </si>
  <si>
    <t>113</t>
  </si>
  <si>
    <t>117</t>
  </si>
  <si>
    <t>116</t>
  </si>
  <si>
    <t>115</t>
  </si>
  <si>
    <t>019</t>
  </si>
  <si>
    <t>018</t>
  </si>
  <si>
    <t>017</t>
  </si>
  <si>
    <t>118</t>
  </si>
  <si>
    <t>119</t>
  </si>
  <si>
    <t>122</t>
  </si>
  <si>
    <t>123</t>
  </si>
  <si>
    <t>215</t>
  </si>
  <si>
    <t>217</t>
  </si>
  <si>
    <t>212</t>
  </si>
  <si>
    <t>213</t>
  </si>
  <si>
    <t>214</t>
  </si>
  <si>
    <t>316</t>
  </si>
  <si>
    <t>315</t>
  </si>
  <si>
    <t>314</t>
  </si>
  <si>
    <t>Долгосрочные резервы</t>
  </si>
  <si>
    <t>313</t>
  </si>
  <si>
    <t>312</t>
  </si>
  <si>
    <t>410</t>
  </si>
  <si>
    <t>411</t>
  </si>
  <si>
    <t>412</t>
  </si>
  <si>
    <t>413</t>
  </si>
  <si>
    <t>414</t>
  </si>
  <si>
    <t>421</t>
  </si>
  <si>
    <t>За отчетный период</t>
  </si>
  <si>
    <t>Прочие доходы</t>
  </si>
  <si>
    <t>от 28 июня  2017 года №404</t>
  </si>
  <si>
    <t xml:space="preserve">Форма </t>
  </si>
  <si>
    <t>ГККП "Индустриально-технический колледж, г. Степногорск" при управлении образования Акмолинской области</t>
  </si>
  <si>
    <t>Индекс:</t>
  </si>
  <si>
    <t>Финансовые активы, имеющиеся в наличии для продажи</t>
  </si>
  <si>
    <t>Производные финансовые инструменты</t>
  </si>
  <si>
    <t xml:space="preserve">Денежные средства и их эквиваленты </t>
  </si>
  <si>
    <t>Финансовые активы, учитываемые по справедливой стоимости через прибыли и убытки</t>
  </si>
  <si>
    <t>Финансовые активы,удерживаемые до погашения</t>
  </si>
  <si>
    <t>Прочие краткосрочные финансове активы</t>
  </si>
  <si>
    <t>Краткосрочная торговая и прочая дебиторская задолженность</t>
  </si>
  <si>
    <t>Текущий подоходный налог</t>
  </si>
  <si>
    <t xml:space="preserve">Запасы </t>
  </si>
  <si>
    <t xml:space="preserve">Прочие краткосрочные активы 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</si>
  <si>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</si>
  <si>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</si>
  <si>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111</t>
  </si>
  <si>
    <t>112</t>
  </si>
  <si>
    <t>Финансовые активы, удерживаемые до погашения</t>
  </si>
  <si>
    <t>114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</si>
  <si>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</si>
  <si>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</si>
  <si>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</si>
  <si>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 xml:space="preserve">Основные средства </t>
  </si>
  <si>
    <t xml:space="preserve">Нематериальные активы </t>
  </si>
  <si>
    <t>Итого долгосрочных активов ( сумма строк с 110 по 123)</t>
  </si>
  <si>
    <t>Баланс (строка 100 +строка 101+ строка 200)</t>
  </si>
  <si>
    <t>Код строки</t>
  </si>
  <si>
    <t>Обязательство и капитал</t>
  </si>
  <si>
    <t>Займы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</si>
  <si>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</si>
  <si>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</si>
  <si>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</si>
  <si>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Краткосрочные резервы</t>
  </si>
  <si>
    <t>Текущие налоговые обязательства по подоходному налогу</t>
  </si>
  <si>
    <t>216</t>
  </si>
  <si>
    <t>Вознаграждения работникам</t>
  </si>
  <si>
    <t xml:space="preserve">Прочие краткосрочные обязательства </t>
  </si>
  <si>
    <t>Итого краткосрочных обязательств ( сумма строк с 210 по 217)</t>
  </si>
  <si>
    <t>310</t>
  </si>
  <si>
    <t>301</t>
  </si>
  <si>
    <t>Обязательства выбывающих групп, предназначенных для продажи</t>
  </si>
  <si>
    <t>311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</si>
  <si>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</si>
  <si>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</si>
  <si>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Прочие долгосрочные обязательства.   </t>
  </si>
  <si>
    <t>Итого долгосрочных обязательств (сумма строк с 310 по 316)</t>
  </si>
  <si>
    <t>Уставной (акционерный) капитал</t>
  </si>
  <si>
    <t xml:space="preserve">Нераспределённый доход (непокрытый убыток) </t>
  </si>
  <si>
    <t>420</t>
  </si>
  <si>
    <t>Итого капитал, относимый на собственников материнской организации (сумма строк с 410 по 414)</t>
  </si>
  <si>
    <t>Доля неконтролируемых собственников</t>
  </si>
  <si>
    <t>Всего капитал (строка 420 +/- строка 421)</t>
  </si>
  <si>
    <t>Баланс (стр.300+стр.301+стр.400+стр.500)</t>
  </si>
  <si>
    <t>Себестоимость реализованных товаров и услуг</t>
  </si>
  <si>
    <t>Доходы по финансированию</t>
  </si>
  <si>
    <t>Расходы по финансированию</t>
  </si>
  <si>
    <t>Прочие неоперационные доходы</t>
  </si>
  <si>
    <t>Расходы по подоходному налогу</t>
  </si>
  <si>
    <t>201</t>
  </si>
  <si>
    <t>Переоценка основных средств</t>
  </si>
  <si>
    <t>Переоценка финансовых активов, имеющихся в наличии для продажи</t>
  </si>
  <si>
    <t>Актуарные прибыли (убытки) по пенсионным обязательствам</t>
  </si>
  <si>
    <t>415</t>
  </si>
  <si>
    <t>Хеджирование денежных потоков</t>
  </si>
  <si>
    <t>416</t>
  </si>
  <si>
    <t>Курсовая разница по инвестициям в зарубежные организации</t>
  </si>
  <si>
    <t>417</t>
  </si>
  <si>
    <t>Хеджирование чистых инвестиций в зарубежные операции</t>
  </si>
  <si>
    <t>418</t>
  </si>
  <si>
    <t>Прочие компоненты прочей совокупной прибыли</t>
  </si>
  <si>
    <t>419</t>
  </si>
  <si>
    <t>Корректировка при реклассификации в составе прибыли (убытка)</t>
  </si>
  <si>
    <t>1. Поступление денежных средств, всего (сумма строк с 011 по 016)</t>
  </si>
  <si>
    <t>047</t>
  </si>
  <si>
    <t>048</t>
  </si>
  <si>
    <t>049</t>
  </si>
  <si>
    <t>061</t>
  </si>
  <si>
    <t>062</t>
  </si>
  <si>
    <t>063</t>
  </si>
  <si>
    <t>064</t>
  </si>
  <si>
    <t>065</t>
  </si>
  <si>
    <t>066</t>
  </si>
  <si>
    <t>2. Выбытие денежных средств, всего (сумма строк с 061 по 071)</t>
  </si>
  <si>
    <t>068</t>
  </si>
  <si>
    <t>069</t>
  </si>
  <si>
    <t>091</t>
  </si>
  <si>
    <t>092</t>
  </si>
  <si>
    <t>093</t>
  </si>
  <si>
    <t>094</t>
  </si>
  <si>
    <t>102</t>
  </si>
  <si>
    <t>103</t>
  </si>
  <si>
    <t>104</t>
  </si>
  <si>
    <t>105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</si>
  <si>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</si>
  <si>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</si>
  <si>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</si>
  <si>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Уточненный план</t>
  </si>
  <si>
    <t>финансирова</t>
  </si>
  <si>
    <t>обязательствам</t>
  </si>
  <si>
    <t>Оплата труда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</si>
  <si>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</si>
  <si>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</si>
  <si>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медикаментов и прочих средств медицинского назначения</t>
  </si>
  <si>
    <t>Приобретение топлива, горюче-смазочных материалов</t>
  </si>
  <si>
    <t>Приобретение прочих запасов</t>
  </si>
  <si>
    <t>Оплата прочих услуг и работ</t>
  </si>
  <si>
    <t>Итого:</t>
  </si>
  <si>
    <t>Приобретение прочих основных средств</t>
  </si>
  <si>
    <t>Всего:</t>
  </si>
  <si>
    <t>Эффект изменения в ставке подоходного налога на отсроченный налог дочерних организаций</t>
  </si>
  <si>
    <t>Фактические расходы</t>
  </si>
  <si>
    <t>тыс.тенге</t>
  </si>
  <si>
    <t>по ОКЕД</t>
  </si>
  <si>
    <t>85321</t>
  </si>
  <si>
    <t>по ОКПО</t>
  </si>
  <si>
    <t>Заработная плата</t>
  </si>
  <si>
    <t>Коммунальные услуги</t>
  </si>
  <si>
    <t>Приобретение основных средств</t>
  </si>
  <si>
    <t xml:space="preserve">Функциональная группа  </t>
  </si>
  <si>
    <t>Образование</t>
  </si>
  <si>
    <t xml:space="preserve">Бюджетная программа  </t>
  </si>
  <si>
    <t>Подготовка специалистов  в организациях профессионального и технического образования</t>
  </si>
  <si>
    <t>Администратор бюджетных программ</t>
  </si>
  <si>
    <t>ГУ Управление  образования Акмолинской  области</t>
  </si>
  <si>
    <t>Единица измерения</t>
  </si>
  <si>
    <t xml:space="preserve">Периодичность                                    </t>
  </si>
  <si>
    <t xml:space="preserve">Наименование организации </t>
  </si>
  <si>
    <t>форма №2</t>
  </si>
  <si>
    <t>Отчет об  исполнении плана финансирования</t>
  </si>
  <si>
    <t>Уточненный план финансирования</t>
  </si>
  <si>
    <t>на отчетный период по</t>
  </si>
  <si>
    <t>Оплаченные обязательства</t>
  </si>
  <si>
    <t xml:space="preserve">    Единица измерения тыс.тенге</t>
  </si>
  <si>
    <t>№ строки</t>
  </si>
  <si>
    <t>Отклонения</t>
  </si>
  <si>
    <t>Командировочные   расходы</t>
  </si>
  <si>
    <t>Налоги и другие обязательные платежи с учётом штрафных санкций</t>
  </si>
  <si>
    <t>Подоход.налог с юридических лиц</t>
  </si>
  <si>
    <t>Приобретение   материалов</t>
  </si>
  <si>
    <t>Приобретение прочих активов</t>
  </si>
  <si>
    <t xml:space="preserve">Электроэнергия </t>
  </si>
  <si>
    <t xml:space="preserve">Отопление </t>
  </si>
  <si>
    <t xml:space="preserve">Услуги связи </t>
  </si>
  <si>
    <t>Текущий ремонт основных средств</t>
  </si>
  <si>
    <t>Арендная плата по основным средствам</t>
  </si>
  <si>
    <t>Расходы по выплате вознаграждений</t>
  </si>
  <si>
    <t>Прочий доход (убыток) стр010-020</t>
  </si>
  <si>
    <t>Отчёт</t>
  </si>
  <si>
    <t>Фактические кассовые поступления</t>
  </si>
  <si>
    <t>Утверждено по смете за период</t>
  </si>
  <si>
    <t xml:space="preserve">Расходы  по госзаказу, в том числе  </t>
  </si>
  <si>
    <t>Расходы, на осуществления которых гражданско-правовые сделки не заключаются</t>
  </si>
  <si>
    <t>в том числе  НДС</t>
  </si>
  <si>
    <t xml:space="preserve">Акцизы </t>
  </si>
  <si>
    <t xml:space="preserve">Социальный налог </t>
  </si>
  <si>
    <t>Судебные  издержки</t>
  </si>
  <si>
    <t xml:space="preserve">Штрафы </t>
  </si>
  <si>
    <t>Прочие  расходы</t>
  </si>
  <si>
    <t>Расходы, на осуществление которых гражданско-правовые сделки заключаются</t>
  </si>
  <si>
    <t xml:space="preserve"> программа 261 024</t>
  </si>
  <si>
    <t xml:space="preserve"> программа 261 052 </t>
  </si>
  <si>
    <t>об использовании средств, выделенных из бюджета на выполнение государственного заказа</t>
  </si>
  <si>
    <t>Доходы по госзаказу</t>
  </si>
  <si>
    <t>Остаток суммы денег на начало отчетного периода</t>
  </si>
  <si>
    <t>001</t>
  </si>
  <si>
    <t>Программа</t>
  </si>
  <si>
    <t>261 024</t>
  </si>
  <si>
    <t>261 052</t>
  </si>
  <si>
    <t>БУХГАЛТЕРСКИЙ БАЛАНС</t>
  </si>
  <si>
    <t>№ 1 - Б (баланс)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</si>
  <si>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</si>
  <si>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</si>
  <si>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</si>
  <si>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</si>
  <si>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</si>
  <si>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</si>
  <si>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</si>
  <si>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ГККП "Индустриально-технический колледж, г.Степногорск" при управлении образования Акмолинской области</t>
  </si>
  <si>
    <t>тысячах тенге</t>
  </si>
  <si>
    <t xml:space="preserve">по состоянию </t>
  </si>
  <si>
    <t>№ 3 - ДДС - П</t>
  </si>
  <si>
    <t>Приложение 4
к приказу Министра финансов
Республики Казахстан
от 28 июня 2017 года № 404</t>
  </si>
  <si>
    <t>ОТЧЕТ О ДВИЖЕНИИ ДЕНЕЖНЫХ СРЕДСТВ (Прямой метод)</t>
  </si>
  <si>
    <t>в депозитарий финансовой отчетности в электронном формате посредством  программного обеспечения</t>
  </si>
  <si>
    <t>Наименование показателей</t>
  </si>
  <si>
    <t>Код
строки</t>
  </si>
  <si>
    <t>1</t>
  </si>
  <si>
    <t>2</t>
  </si>
  <si>
    <t>3</t>
  </si>
  <si>
    <t>4</t>
  </si>
  <si>
    <t>I. Движение денежных средств от операционной деятельности</t>
  </si>
  <si>
    <t xml:space="preserve">            реализация товаров и услуг</t>
  </si>
  <si>
    <t>-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</si>
  <si>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</si>
  <si>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</si>
  <si>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</si>
  <si>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</si>
  <si>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</si>
  <si>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</si>
  <si>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</si>
  <si>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</si>
  <si>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</si>
  <si>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</si>
  <si>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</si>
  <si>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</si>
  <si>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</si>
  <si>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</si>
  <si>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</si>
  <si>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</si>
  <si>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</si>
  <si>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</si>
  <si>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</si>
  <si>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</si>
  <si>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</si>
  <si>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</si>
  <si>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</si>
  <si>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</si>
  <si>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</si>
  <si>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</si>
  <si>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</si>
  <si>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</si>
  <si>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</si>
  <si>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</si>
  <si>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</si>
  <si>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</si>
  <si>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</si>
  <si>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</si>
  <si>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</si>
  <si>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</si>
  <si>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</si>
  <si>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</si>
  <si>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</si>
  <si>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</si>
  <si>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</si>
  <si>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</si>
  <si>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</si>
  <si>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</si>
  <si>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</si>
  <si>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</si>
  <si>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</si>
  <si>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5. Увеличение +/- уменьшение денежных средств (строка 030 +/- строка 080 +/- строка 110 +/- строка 120)</t>
  </si>
  <si>
    <t>Приложение 3
к приказу Министра финансов
Республики Казахстан
от 28 июня 2017 года № 404</t>
  </si>
  <si>
    <t>№2 - ОПУ</t>
  </si>
  <si>
    <t>ОТЧЕТ О ПРИБЫЛЯХ И УБЫТКАХ</t>
  </si>
  <si>
    <t xml:space="preserve">Выручка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</si>
  <si>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</si>
  <si>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</si>
  <si>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</si>
  <si>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</si>
  <si>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</si>
  <si>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</si>
  <si>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Прочие неоперационные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</si>
  <si>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</si>
  <si>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</si>
  <si>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</si>
  <si>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</si>
  <si>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</si>
  <si>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</si>
  <si>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</si>
  <si>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</si>
  <si>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Налоговый эффект компонентов прочей совокупной прибыли</t>
  </si>
  <si>
    <t>Общая совокупная прибыль (строка 300 + строка 400)</t>
  </si>
  <si>
    <t xml:space="preserve">Прочие услуги </t>
  </si>
  <si>
    <t>полугодовая</t>
  </si>
  <si>
    <t>на 01 июля 2020 года</t>
  </si>
  <si>
    <t>на 01 июля 2020 г.</t>
  </si>
  <si>
    <t>на 01.07.2020 года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</si>
</sst>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#,##0.0"/>
    <numFmt numFmtId="191" formatCode="#,##0.0_р_."/>
    <numFmt numFmtId="192" formatCode="000000"/>
    <numFmt numFmtId="193" formatCode="0.0000"/>
    <numFmt numFmtId="194" formatCode="0.00000"/>
    <numFmt numFmtId="195" formatCode="0.000"/>
    <numFmt numFmtId="196" formatCode="#,##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&quot;  &quot;"/>
    <numFmt numFmtId="202" formatCode="#,##0.00\ _р_."/>
    <numFmt numFmtId="203" formatCode="[$-FC19]d\ mmmm\ yyyy\ &quot;г.&quot;"/>
    <numFmt numFmtId="204" formatCode="#,##0.0\ _р_."/>
    <numFmt numFmtId="205" formatCode="_-* #,##0.0\ _р_._-;\-* #,##0.0\ _р_._-;_-* &quot;-&quot;??\ _р_._-;_-@_-"/>
    <numFmt numFmtId="206" formatCode="_-* #,##0.0\ _р_._-;\-* #,##0.0\ _р_._-;_-* &quot;-&quot;?\ _р_._-;_-@_-"/>
    <numFmt numFmtId="207" formatCode="_-* #,##0.0_р_._-;\-* #,##0.0_р_._-;_-* &quot;-&quot;?_р_._-;_-@_-"/>
    <numFmt numFmtId="208" formatCode="#,##0.0,"/>
    <numFmt numFmtId="209" formatCode="0.0,"/>
    <numFmt numFmtId="210" formatCode="[=-247917098.99]&quot;(247 917,1)&quot;;General"/>
    <numFmt numFmtId="211" formatCode="[=0]&quot;&quot;;General"/>
    <numFmt numFmtId="212" formatCode="#,##0.00,"/>
    <numFmt numFmtId="213" formatCode="#,##0.000,"/>
    <numFmt numFmtId="214" formatCode="[=0]&quot;-&quot;;General"/>
    <numFmt numFmtId="215" formatCode="mmm/yyyy"/>
    <numFmt numFmtId="216" formatCode="#,##0.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right" vertical="center"/>
    </xf>
    <xf numFmtId="19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49" fontId="9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8" fillId="0" borderId="10" xfId="0" applyFont="1" applyBorder="1" applyAlignment="1">
      <alignment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56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top" wrapText="1"/>
    </xf>
    <xf numFmtId="0" fontId="58" fillId="0" borderId="10" xfId="0" applyFont="1" applyBorder="1" applyAlignment="1">
      <alignment horizontal="right" vertical="top" wrapText="1"/>
    </xf>
    <xf numFmtId="188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13" fillId="0" borderId="0" xfId="52" applyFont="1" applyFill="1" applyAlignment="1">
      <alignment horizontal="left"/>
      <protection/>
    </xf>
    <xf numFmtId="0" fontId="13" fillId="0" borderId="0" xfId="52" applyFont="1" applyFill="1">
      <alignment/>
      <protection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52" applyFont="1" applyFill="1" applyAlignment="1">
      <alignment/>
      <protection/>
    </xf>
    <xf numFmtId="0" fontId="13" fillId="0" borderId="0" xfId="52" applyNumberFormat="1" applyFont="1" applyFill="1" applyAlignment="1">
      <alignment horizontal="left" vertical="top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88" fontId="0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6" fillId="0" borderId="0" xfId="0" applyNumberFormat="1" applyFont="1" applyFill="1" applyBorder="1" applyAlignment="1">
      <alignment horizontal="center"/>
    </xf>
    <xf numFmtId="188" fontId="56" fillId="0" borderId="10" xfId="0" applyNumberFormat="1" applyFont="1" applyBorder="1" applyAlignment="1">
      <alignment horizontal="right" vertical="top" wrapText="1"/>
    </xf>
    <xf numFmtId="188" fontId="58" fillId="0" borderId="10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190" fontId="7" fillId="0" borderId="10" xfId="0" applyNumberFormat="1" applyFont="1" applyFill="1" applyBorder="1" applyAlignment="1">
      <alignment horizontal="right" vertical="center" wrapText="1"/>
    </xf>
    <xf numFmtId="190" fontId="56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88" fontId="0" fillId="0" borderId="0" xfId="0" applyNumberFormat="1" applyFont="1" applyAlignment="1">
      <alignment/>
    </xf>
    <xf numFmtId="190" fontId="1" fillId="0" borderId="10" xfId="0" applyNumberFormat="1" applyFont="1" applyFill="1" applyBorder="1" applyAlignment="1">
      <alignment horizontal="right" vertical="center"/>
    </xf>
    <xf numFmtId="0" fontId="2" fillId="0" borderId="0" xfId="53" applyFill="1">
      <alignment/>
      <protection/>
    </xf>
    <xf numFmtId="0" fontId="14" fillId="0" borderId="0" xfId="53" applyNumberFormat="1" applyFont="1" applyFill="1" applyAlignment="1">
      <alignment horizontal="center" vertical="center" wrapText="1"/>
      <protection/>
    </xf>
    <xf numFmtId="0" fontId="0" fillId="0" borderId="0" xfId="53" applyNumberFormat="1" applyFont="1" applyFill="1" applyAlignment="1">
      <alignment horizontal="right" vertical="top"/>
      <protection/>
    </xf>
    <xf numFmtId="0" fontId="4" fillId="0" borderId="0" xfId="53" applyNumberFormat="1" applyFont="1" applyFill="1" applyAlignment="1">
      <alignment/>
      <protection/>
    </xf>
    <xf numFmtId="0" fontId="2" fillId="0" borderId="0" xfId="53" applyFill="1" applyAlignment="1">
      <alignment/>
      <protection/>
    </xf>
    <xf numFmtId="0" fontId="12" fillId="0" borderId="0" xfId="53" applyFont="1" applyFill="1" applyAlignment="1">
      <alignment horizontal="left"/>
      <protection/>
    </xf>
    <xf numFmtId="0" fontId="13" fillId="0" borderId="0" xfId="53" applyFont="1" applyFill="1" applyAlignment="1">
      <alignment horizontal="left"/>
      <protection/>
    </xf>
    <xf numFmtId="0" fontId="13" fillId="0" borderId="0" xfId="53" applyNumberFormat="1" applyFont="1" applyFill="1" applyAlignment="1">
      <alignment horizontal="left" wrapText="1"/>
      <protection/>
    </xf>
    <xf numFmtId="0" fontId="12" fillId="0" borderId="0" xfId="53" applyNumberFormat="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right"/>
    </xf>
    <xf numFmtId="0" fontId="0" fillId="0" borderId="10" xfId="53" applyNumberFormat="1" applyFont="1" applyFill="1" applyBorder="1" applyAlignment="1">
      <alignment horizontal="centerContinuous" vertical="center" wrapText="1"/>
      <protection/>
    </xf>
    <xf numFmtId="0" fontId="13" fillId="0" borderId="10" xfId="53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190" fontId="13" fillId="0" borderId="10" xfId="53" applyNumberFormat="1" applyFont="1" applyFill="1" applyBorder="1" applyAlignment="1">
      <alignment horizontal="right" vertical="center" wrapText="1"/>
      <protection/>
    </xf>
    <xf numFmtId="190" fontId="13" fillId="0" borderId="10" xfId="53" applyNumberFormat="1" applyFont="1" applyFill="1" applyBorder="1" applyAlignment="1">
      <alignment horizontal="right" vertical="top" wrapText="1"/>
      <protection/>
    </xf>
    <xf numFmtId="49" fontId="1" fillId="0" borderId="0" xfId="0" applyNumberFormat="1" applyFont="1" applyFill="1" applyBorder="1" applyAlignment="1">
      <alignment horizontal="center"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190" fontId="12" fillId="0" borderId="10" xfId="53" applyNumberFormat="1" applyFont="1" applyFill="1" applyBorder="1" applyAlignment="1">
      <alignment horizontal="right" vertical="center" wrapText="1"/>
      <protection/>
    </xf>
    <xf numFmtId="190" fontId="12" fillId="0" borderId="10" xfId="54" applyNumberFormat="1" applyFont="1" applyFill="1" applyBorder="1" applyAlignment="1">
      <alignment horizontal="right" vertical="center"/>
      <protection/>
    </xf>
    <xf numFmtId="190" fontId="13" fillId="0" borderId="10" xfId="54" applyNumberFormat="1" applyFont="1" applyFill="1" applyBorder="1" applyAlignment="1">
      <alignment horizontal="right"/>
      <protection/>
    </xf>
    <xf numFmtId="190" fontId="13" fillId="0" borderId="10" xfId="54" applyNumberFormat="1" applyFont="1" applyFill="1" applyBorder="1" applyAlignment="1">
      <alignment horizontal="right" vertical="center"/>
      <protection/>
    </xf>
    <xf numFmtId="190" fontId="13" fillId="0" borderId="10" xfId="54" applyNumberFormat="1" applyFont="1" applyFill="1" applyBorder="1" applyAlignment="1">
      <alignment horizontal="right" vertical="top"/>
      <protection/>
    </xf>
    <xf numFmtId="0" fontId="2" fillId="0" borderId="0" xfId="54" applyFill="1">
      <alignment/>
      <protection/>
    </xf>
    <xf numFmtId="0" fontId="4" fillId="0" borderId="0" xfId="54" applyNumberFormat="1" applyFont="1" applyFill="1" applyAlignment="1">
      <alignment vertical="center"/>
      <protection/>
    </xf>
    <xf numFmtId="0" fontId="12" fillId="0" borderId="0" xfId="54" applyNumberFormat="1" applyFont="1" applyFill="1" applyAlignment="1">
      <alignment vertical="center"/>
      <protection/>
    </xf>
    <xf numFmtId="0" fontId="13" fillId="0" borderId="0" xfId="54" applyFont="1" applyFill="1" applyAlignment="1">
      <alignment horizontal="left"/>
      <protection/>
    </xf>
    <xf numFmtId="0" fontId="2" fillId="0" borderId="0" xfId="54" applyFont="1" applyFill="1">
      <alignment/>
      <protection/>
    </xf>
    <xf numFmtId="0" fontId="13" fillId="0" borderId="0" xfId="54" applyNumberFormat="1" applyFont="1" applyFill="1" applyAlignment="1">
      <alignment horizontal="left" vertical="top"/>
      <protection/>
    </xf>
    <xf numFmtId="0" fontId="13" fillId="0" borderId="0" xfId="54" applyNumberFormat="1" applyFont="1" applyFill="1" applyAlignment="1">
      <alignment horizontal="left" wrapText="1"/>
      <protection/>
    </xf>
    <xf numFmtId="0" fontId="13" fillId="0" borderId="0" xfId="54" applyFont="1" applyFill="1" applyBorder="1" applyAlignment="1">
      <alignment horizontal="left"/>
      <protection/>
    </xf>
    <xf numFmtId="0" fontId="12" fillId="0" borderId="0" xfId="54" applyNumberFormat="1" applyFont="1" applyFill="1" applyBorder="1" applyAlignment="1">
      <alignment wrapText="1"/>
      <protection/>
    </xf>
    <xf numFmtId="0" fontId="13" fillId="0" borderId="10" xfId="54" applyNumberFormat="1" applyFont="1" applyFill="1" applyBorder="1" applyAlignment="1">
      <alignment horizontal="center" vertical="top" wrapText="1"/>
      <protection/>
    </xf>
    <xf numFmtId="0" fontId="15" fillId="0" borderId="10" xfId="54" applyNumberFormat="1" applyFont="1" applyFill="1" applyBorder="1" applyAlignment="1">
      <alignment horizontal="center" vertical="center"/>
      <protection/>
    </xf>
    <xf numFmtId="190" fontId="12" fillId="0" borderId="10" xfId="54" applyNumberFormat="1" applyFont="1" applyFill="1" applyBorder="1" applyAlignment="1">
      <alignment horizontal="center" vertical="center"/>
      <protection/>
    </xf>
    <xf numFmtId="190" fontId="13" fillId="0" borderId="10" xfId="54" applyNumberFormat="1" applyFont="1" applyFill="1" applyBorder="1" applyAlignment="1">
      <alignment vertical="top"/>
      <protection/>
    </xf>
    <xf numFmtId="190" fontId="13" fillId="0" borderId="10" xfId="54" applyNumberFormat="1" applyFont="1" applyFill="1" applyBorder="1" applyAlignment="1">
      <alignment horizontal="center" vertical="center"/>
      <protection/>
    </xf>
    <xf numFmtId="49" fontId="12" fillId="0" borderId="10" xfId="54" applyNumberFormat="1" applyFont="1" applyFill="1" applyBorder="1" applyAlignment="1">
      <alignment horizontal="center" vertical="center"/>
      <protection/>
    </xf>
    <xf numFmtId="190" fontId="13" fillId="0" borderId="10" xfId="54" applyNumberFormat="1" applyFont="1" applyFill="1" applyBorder="1" applyAlignment="1">
      <alignment horizontal="center" vertical="top"/>
      <protection/>
    </xf>
    <xf numFmtId="0" fontId="2" fillId="0" borderId="0" xfId="54" applyFill="1" applyAlignment="1">
      <alignment horizontal="left"/>
      <protection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4" fillId="0" borderId="0" xfId="52" applyNumberFormat="1" applyFont="1" applyFill="1" applyAlignment="1">
      <alignment horizontal="center" vertical="center"/>
      <protection/>
    </xf>
    <xf numFmtId="0" fontId="13" fillId="0" borderId="0" xfId="52" applyNumberFormat="1" applyFont="1" applyFill="1" applyAlignment="1">
      <alignment/>
      <protection/>
    </xf>
    <xf numFmtId="0" fontId="13" fillId="0" borderId="20" xfId="52" applyNumberFormat="1" applyFont="1" applyFill="1" applyBorder="1" applyAlignment="1">
      <alignment horizontal="left" wrapText="1"/>
      <protection/>
    </xf>
    <xf numFmtId="0" fontId="13" fillId="0" borderId="0" xfId="52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52" applyFont="1" applyFill="1" applyAlignment="1">
      <alignment horizontal="left"/>
      <protection/>
    </xf>
    <xf numFmtId="0" fontId="13" fillId="0" borderId="10" xfId="53" applyNumberFormat="1" applyFont="1" applyFill="1" applyBorder="1" applyAlignment="1">
      <alignment horizontal="left" vertical="center" wrapText="1"/>
      <protection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0" fontId="13" fillId="0" borderId="10" xfId="53" applyNumberFormat="1" applyFont="1" applyFill="1" applyBorder="1" applyAlignment="1">
      <alignment horizontal="left" wrapText="1"/>
      <protection/>
    </xf>
    <xf numFmtId="0" fontId="12" fillId="0" borderId="10" xfId="53" applyNumberFormat="1" applyFont="1" applyFill="1" applyBorder="1" applyAlignment="1">
      <alignment horizontal="left" wrapText="1"/>
      <protection/>
    </xf>
    <xf numFmtId="0" fontId="4" fillId="0" borderId="0" xfId="53" applyNumberFormat="1" applyFont="1" applyFill="1" applyAlignment="1">
      <alignment horizontal="center"/>
      <protection/>
    </xf>
    <xf numFmtId="0" fontId="2" fillId="0" borderId="0" xfId="53" applyFill="1" applyAlignment="1">
      <alignment horizontal="center"/>
      <protection/>
    </xf>
    <xf numFmtId="0" fontId="13" fillId="0" borderId="0" xfId="53" applyFont="1" applyFill="1" applyAlignment="1">
      <alignment horizontal="left"/>
      <protection/>
    </xf>
    <xf numFmtId="0" fontId="12" fillId="0" borderId="0" xfId="53" applyFont="1" applyFill="1" applyAlignment="1">
      <alignment horizontal="left"/>
      <protection/>
    </xf>
    <xf numFmtId="0" fontId="12" fillId="0" borderId="0" xfId="53" applyNumberFormat="1" applyFont="1" applyFill="1" applyAlignment="1">
      <alignment horizontal="left" vertical="top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NumberFormat="1" applyFont="1" applyFill="1" applyBorder="1" applyAlignment="1">
      <alignment horizontal="left" vertical="top" wrapText="1"/>
      <protection/>
    </xf>
    <xf numFmtId="0" fontId="12" fillId="0" borderId="2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right"/>
    </xf>
    <xf numFmtId="190" fontId="13" fillId="0" borderId="10" xfId="54" applyNumberFormat="1" applyFont="1" applyFill="1" applyBorder="1" applyAlignment="1">
      <alignment horizontal="left"/>
      <protection/>
    </xf>
    <xf numFmtId="0" fontId="12" fillId="0" borderId="0" xfId="54" applyNumberFormat="1" applyFont="1" applyFill="1" applyAlignment="1">
      <alignment horizontal="center" vertical="center"/>
      <protection/>
    </xf>
    <xf numFmtId="190" fontId="13" fillId="0" borderId="10" xfId="54" applyNumberFormat="1" applyFont="1" applyFill="1" applyBorder="1" applyAlignment="1">
      <alignment horizontal="left" vertical="top"/>
      <protection/>
    </xf>
    <xf numFmtId="190" fontId="13" fillId="0" borderId="10" xfId="54" applyNumberFormat="1" applyFont="1" applyFill="1" applyBorder="1" applyAlignment="1">
      <alignment horizontal="left" vertical="center"/>
      <protection/>
    </xf>
    <xf numFmtId="190" fontId="13" fillId="0" borderId="10" xfId="54" applyNumberFormat="1" applyFont="1" applyFill="1" applyBorder="1" applyAlignment="1">
      <alignment horizontal="center" vertical="center"/>
      <protection/>
    </xf>
    <xf numFmtId="190" fontId="13" fillId="0" borderId="10" xfId="54" applyNumberFormat="1" applyFont="1" applyFill="1" applyBorder="1" applyAlignment="1">
      <alignment horizontal="left" vertical="center" wrapText="1"/>
      <protection/>
    </xf>
    <xf numFmtId="190" fontId="13" fillId="0" borderId="10" xfId="54" applyNumberFormat="1" applyFont="1" applyFill="1" applyBorder="1" applyAlignment="1">
      <alignment horizontal="center" vertical="center" wrapText="1"/>
      <protection/>
    </xf>
    <xf numFmtId="0" fontId="2" fillId="0" borderId="20" xfId="54" applyNumberFormat="1" applyFill="1" applyBorder="1" applyAlignment="1">
      <alignment horizontal="right"/>
      <protection/>
    </xf>
    <xf numFmtId="0" fontId="13" fillId="0" borderId="20" xfId="54" applyNumberFormat="1" applyFont="1" applyFill="1" applyBorder="1" applyAlignment="1">
      <alignment horizontal="left" wrapText="1"/>
      <protection/>
    </xf>
    <xf numFmtId="190" fontId="12" fillId="0" borderId="10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Fill="1" applyBorder="1" applyAlignment="1">
      <alignment horizontal="center" vertical="center"/>
      <protection/>
    </xf>
    <xf numFmtId="0" fontId="12" fillId="0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center" vertical="center"/>
      <protection/>
    </xf>
    <xf numFmtId="190" fontId="13" fillId="0" borderId="10" xfId="54" applyNumberFormat="1" applyFont="1" applyFill="1" applyBorder="1" applyAlignment="1">
      <alignment horizontal="left" wrapText="1"/>
      <protection/>
    </xf>
    <xf numFmtId="0" fontId="14" fillId="0" borderId="0" xfId="54" applyNumberFormat="1" applyFont="1" applyFill="1" applyAlignment="1">
      <alignment horizontal="center" vertical="center" wrapText="1"/>
      <protection/>
    </xf>
    <xf numFmtId="0" fontId="4" fillId="0" borderId="0" xfId="54" applyNumberFormat="1" applyFont="1" applyFill="1" applyAlignment="1">
      <alignment horizontal="center" vertical="center"/>
      <protection/>
    </xf>
    <xf numFmtId="190" fontId="13" fillId="0" borderId="11" xfId="54" applyNumberFormat="1" applyFont="1" applyFill="1" applyBorder="1" applyAlignment="1">
      <alignment horizontal="left" vertical="top"/>
      <protection/>
    </xf>
    <xf numFmtId="190" fontId="13" fillId="0" borderId="12" xfId="54" applyNumberFormat="1" applyFont="1" applyFill="1" applyBorder="1" applyAlignment="1">
      <alignment horizontal="left" vertical="top"/>
      <protection/>
    </xf>
    <xf numFmtId="190" fontId="13" fillId="0" borderId="13" xfId="54" applyNumberFormat="1" applyFont="1" applyFill="1" applyBorder="1" applyAlignment="1">
      <alignment horizontal="left" vertical="top"/>
      <protection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" xfId="52"/>
    <cellStyle name="Обычный_Приложение 3" xfId="53"/>
    <cellStyle name="Обычный_Приложение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L86"/>
  <sheetViews>
    <sheetView view="pageBreakPreview" zoomScaleSheetLayoutView="100" zoomScalePageLayoutView="0" workbookViewId="0" topLeftCell="A73">
      <selection activeCell="I96" sqref="I96"/>
    </sheetView>
  </sheetViews>
  <sheetFormatPr defaultColWidth="9.140625" defaultRowHeight="12.75"/>
  <cols>
    <col min="1" max="1" width="10.140625" style="57" bestFit="1" customWidth="1"/>
    <col min="2" max="5" width="9.140625" style="57" customWidth="1"/>
    <col min="6" max="6" width="15.421875" style="57" customWidth="1"/>
    <col min="7" max="7" width="7.7109375" style="57" customWidth="1"/>
    <col min="8" max="8" width="10.8515625" style="57" customWidth="1"/>
    <col min="9" max="9" width="11.7109375" style="57" customWidth="1"/>
    <col min="10" max="10" width="9.140625" style="57" customWidth="1"/>
    <col min="11" max="11" width="18.421875" style="57" customWidth="1"/>
    <col min="12" max="16384" width="9.140625" style="57" customWidth="1"/>
  </cols>
  <sheetData>
    <row r="2" spans="7:9" ht="12.75">
      <c r="G2" s="186" t="s">
        <v>85</v>
      </c>
      <c r="H2" s="186"/>
      <c r="I2" s="186"/>
    </row>
    <row r="3" spans="7:9" ht="12.75">
      <c r="G3" s="58" t="s">
        <v>86</v>
      </c>
      <c r="H3" s="59"/>
      <c r="I3" s="59"/>
    </row>
    <row r="4" spans="7:9" ht="12.75">
      <c r="G4" s="186" t="s">
        <v>87</v>
      </c>
      <c r="H4" s="187"/>
      <c r="I4" s="187"/>
    </row>
    <row r="5" spans="7:9" ht="12.75">
      <c r="G5" s="186" t="s">
        <v>118</v>
      </c>
      <c r="H5" s="186"/>
      <c r="I5" s="186"/>
    </row>
    <row r="7" spans="7:9" ht="12.75">
      <c r="G7" s="188" t="s">
        <v>119</v>
      </c>
      <c r="H7" s="188"/>
      <c r="I7" s="188"/>
    </row>
    <row r="8" spans="1:9" ht="15">
      <c r="A8" s="182" t="s">
        <v>287</v>
      </c>
      <c r="B8" s="182"/>
      <c r="C8" s="182"/>
      <c r="D8" s="182"/>
      <c r="E8" s="182"/>
      <c r="F8" s="182"/>
      <c r="G8" s="182"/>
      <c r="I8" s="60"/>
    </row>
    <row r="9" spans="1:9" ht="12.7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ht="27.75" customHeight="1">
      <c r="A10" s="62" t="s">
        <v>121</v>
      </c>
      <c r="B10" s="63"/>
      <c r="C10" s="63"/>
      <c r="D10" s="62" t="s">
        <v>288</v>
      </c>
      <c r="E10" s="63"/>
      <c r="F10" s="64"/>
      <c r="G10" s="64"/>
      <c r="H10" s="64"/>
      <c r="I10" s="65"/>
    </row>
    <row r="11" spans="1:8" ht="12.75">
      <c r="A11" s="66"/>
      <c r="B11" s="67"/>
      <c r="C11" s="67"/>
      <c r="D11" s="67"/>
      <c r="E11" s="67"/>
      <c r="F11" s="67"/>
      <c r="G11" s="67"/>
      <c r="H11" s="67"/>
    </row>
    <row r="12" spans="1:8" ht="12.75">
      <c r="A12" s="62" t="s">
        <v>289</v>
      </c>
      <c r="B12" s="67"/>
      <c r="C12" s="67"/>
      <c r="D12" s="62" t="s">
        <v>382</v>
      </c>
      <c r="E12" s="67"/>
      <c r="F12" s="67"/>
      <c r="G12" s="67"/>
      <c r="H12" s="67"/>
    </row>
    <row r="13" spans="1:9" ht="12.75">
      <c r="A13" s="62" t="s">
        <v>290</v>
      </c>
      <c r="B13" s="67"/>
      <c r="C13" s="67"/>
      <c r="D13" s="68" t="s">
        <v>291</v>
      </c>
      <c r="E13" s="68"/>
      <c r="F13" s="68"/>
      <c r="G13" s="68"/>
      <c r="H13" s="68"/>
      <c r="I13" s="60"/>
    </row>
    <row r="14" spans="1:9" ht="25.5" customHeight="1">
      <c r="A14" s="69" t="s">
        <v>292</v>
      </c>
      <c r="B14" s="67"/>
      <c r="C14" s="67"/>
      <c r="D14" s="185" t="s">
        <v>293</v>
      </c>
      <c r="E14" s="185"/>
      <c r="F14" s="185"/>
      <c r="G14" s="185"/>
      <c r="H14" s="185"/>
      <c r="I14" s="185"/>
    </row>
    <row r="15" spans="1:9" ht="12.75">
      <c r="A15" s="62" t="s">
        <v>294</v>
      </c>
      <c r="B15" s="70"/>
      <c r="C15" s="70"/>
      <c r="D15" s="189" t="s">
        <v>295</v>
      </c>
      <c r="E15" s="189"/>
      <c r="F15" s="189"/>
      <c r="G15" s="189"/>
      <c r="H15" s="189"/>
      <c r="I15" s="189"/>
    </row>
    <row r="16" spans="1:9" ht="12.75">
      <c r="A16" s="62" t="s">
        <v>20</v>
      </c>
      <c r="B16" s="71"/>
      <c r="C16" s="71"/>
      <c r="D16" s="184" t="s">
        <v>296</v>
      </c>
      <c r="E16" s="184"/>
      <c r="F16" s="184"/>
      <c r="G16" s="184"/>
      <c r="H16" s="184"/>
      <c r="I16" s="72"/>
    </row>
    <row r="17" spans="1:9" ht="12.75" customHeight="1">
      <c r="A17" s="73"/>
      <c r="B17" s="73"/>
      <c r="C17" s="73"/>
      <c r="D17" s="73"/>
      <c r="E17" s="73"/>
      <c r="F17" s="73"/>
      <c r="G17" s="73"/>
      <c r="H17" s="73"/>
      <c r="I17" s="74"/>
    </row>
    <row r="18" spans="1:9" ht="12.75">
      <c r="A18" s="75" t="s">
        <v>298</v>
      </c>
      <c r="B18" s="71"/>
      <c r="C18" s="71"/>
      <c r="D18" s="75" t="s">
        <v>383</v>
      </c>
      <c r="E18" s="73"/>
      <c r="F18" s="73"/>
      <c r="G18" s="73"/>
      <c r="H18" s="73"/>
      <c r="I18" s="74"/>
    </row>
    <row r="19" spans="1:9" ht="12.75">
      <c r="A19" s="183"/>
      <c r="B19" s="183"/>
      <c r="C19" s="71"/>
      <c r="D19" s="73"/>
      <c r="E19" s="73"/>
      <c r="F19" s="73"/>
      <c r="G19" s="73"/>
      <c r="H19" s="73"/>
      <c r="I19" s="74"/>
    </row>
    <row r="20" spans="8:9" ht="12.75">
      <c r="H20" s="177" t="s">
        <v>35</v>
      </c>
      <c r="I20" s="177"/>
    </row>
    <row r="21" spans="1:9" ht="38.25">
      <c r="A21" s="170" t="s">
        <v>41</v>
      </c>
      <c r="B21" s="171"/>
      <c r="C21" s="171"/>
      <c r="D21" s="171"/>
      <c r="E21" s="171"/>
      <c r="F21" s="172"/>
      <c r="G21" s="76" t="s">
        <v>145</v>
      </c>
      <c r="H21" s="76" t="s">
        <v>39</v>
      </c>
      <c r="I21" s="76" t="s">
        <v>40</v>
      </c>
    </row>
    <row r="22" spans="1:9" ht="12.75">
      <c r="A22" s="153" t="s">
        <v>6</v>
      </c>
      <c r="B22" s="165"/>
      <c r="C22" s="165"/>
      <c r="D22" s="165"/>
      <c r="E22" s="165"/>
      <c r="F22" s="166"/>
      <c r="G22" s="43"/>
      <c r="H22" s="21"/>
      <c r="I22" s="21"/>
    </row>
    <row r="23" spans="1:9" ht="12.75">
      <c r="A23" s="148" t="s">
        <v>124</v>
      </c>
      <c r="B23" s="149"/>
      <c r="C23" s="149"/>
      <c r="D23" s="149"/>
      <c r="E23" s="149"/>
      <c r="F23" s="150"/>
      <c r="G23" s="77" t="s">
        <v>42</v>
      </c>
      <c r="H23" s="21">
        <v>50.2</v>
      </c>
      <c r="I23" s="21">
        <v>58883.2</v>
      </c>
    </row>
    <row r="24" spans="1:9" ht="12.75" customHeight="1">
      <c r="A24" s="156" t="s">
        <v>122</v>
      </c>
      <c r="B24" s="173"/>
      <c r="C24" s="173"/>
      <c r="D24" s="173"/>
      <c r="E24" s="173"/>
      <c r="F24" s="174"/>
      <c r="G24" s="77" t="s">
        <v>43</v>
      </c>
      <c r="H24" s="21"/>
      <c r="I24" s="21"/>
    </row>
    <row r="25" spans="1:9" ht="12.75">
      <c r="A25" s="148" t="s">
        <v>123</v>
      </c>
      <c r="B25" s="149"/>
      <c r="C25" s="149"/>
      <c r="D25" s="149"/>
      <c r="E25" s="149"/>
      <c r="F25" s="150"/>
      <c r="G25" s="77" t="s">
        <v>70</v>
      </c>
      <c r="H25" s="21"/>
      <c r="I25" s="21"/>
    </row>
    <row r="26" spans="1:9" ht="26.25" customHeight="1">
      <c r="A26" s="167" t="s">
        <v>125</v>
      </c>
      <c r="B26" s="168"/>
      <c r="C26" s="168"/>
      <c r="D26" s="168"/>
      <c r="E26" s="168"/>
      <c r="F26" s="169"/>
      <c r="G26" s="77" t="s">
        <v>71</v>
      </c>
      <c r="H26" s="21"/>
      <c r="I26" s="21"/>
    </row>
    <row r="27" spans="1:9" ht="14.25" customHeight="1">
      <c r="A27" s="167" t="s">
        <v>126</v>
      </c>
      <c r="B27" s="168"/>
      <c r="C27" s="168"/>
      <c r="D27" s="168"/>
      <c r="E27" s="168"/>
      <c r="F27" s="169"/>
      <c r="G27" s="77" t="s">
        <v>72</v>
      </c>
      <c r="H27" s="21"/>
      <c r="I27" s="21"/>
    </row>
    <row r="28" spans="1:9" ht="14.25" customHeight="1">
      <c r="A28" s="167" t="s">
        <v>127</v>
      </c>
      <c r="B28" s="168"/>
      <c r="C28" s="168"/>
      <c r="D28" s="168"/>
      <c r="E28" s="168"/>
      <c r="F28" s="169"/>
      <c r="G28" s="77" t="s">
        <v>73</v>
      </c>
      <c r="H28" s="21"/>
      <c r="I28" s="21"/>
    </row>
    <row r="29" spans="1:9" ht="14.25" customHeight="1">
      <c r="A29" s="167" t="s">
        <v>128</v>
      </c>
      <c r="B29" s="168"/>
      <c r="C29" s="168"/>
      <c r="D29" s="168"/>
      <c r="E29" s="168"/>
      <c r="F29" s="169"/>
      <c r="G29" s="77" t="s">
        <v>74</v>
      </c>
      <c r="H29" s="21"/>
      <c r="I29" s="21">
        <v>1295</v>
      </c>
    </row>
    <row r="30" spans="1:9" ht="12.75">
      <c r="A30" s="156" t="s">
        <v>129</v>
      </c>
      <c r="B30" s="154"/>
      <c r="C30" s="154"/>
      <c r="D30" s="154"/>
      <c r="E30" s="154"/>
      <c r="F30" s="155"/>
      <c r="G30" s="77" t="s">
        <v>94</v>
      </c>
      <c r="H30" s="21"/>
      <c r="I30" s="21"/>
    </row>
    <row r="31" spans="1:9" ht="12.75">
      <c r="A31" s="157" t="s">
        <v>130</v>
      </c>
      <c r="B31" s="175"/>
      <c r="C31" s="175"/>
      <c r="D31" s="175"/>
      <c r="E31" s="175"/>
      <c r="F31" s="176"/>
      <c r="G31" s="81" t="s">
        <v>93</v>
      </c>
      <c r="H31" s="21">
        <v>32261.1</v>
      </c>
      <c r="I31" s="21">
        <v>24945.4</v>
      </c>
    </row>
    <row r="32" spans="1:9" ht="12.75">
      <c r="A32" s="156" t="s">
        <v>131</v>
      </c>
      <c r="B32" s="154"/>
      <c r="C32" s="154"/>
      <c r="D32" s="154"/>
      <c r="E32" s="154"/>
      <c r="F32" s="155"/>
      <c r="G32" s="77" t="s">
        <v>92</v>
      </c>
      <c r="H32" s="21">
        <v>561.1</v>
      </c>
      <c r="I32" s="21">
        <v>307.6</v>
      </c>
    </row>
    <row r="33" spans="1:9" ht="12.75">
      <c r="A33" s="153" t="s">
        <v>132</v>
      </c>
      <c r="B33" s="154"/>
      <c r="C33" s="154"/>
      <c r="D33" s="154"/>
      <c r="E33" s="154"/>
      <c r="F33" s="155"/>
      <c r="G33" s="82" t="s">
        <v>59</v>
      </c>
      <c r="H33" s="83">
        <f>SUM(H23:H32)</f>
        <v>32872.4</v>
      </c>
      <c r="I33" s="83">
        <f>SUM(I23:I32)</f>
        <v>85431.20000000001</v>
      </c>
    </row>
    <row r="34" spans="1:9" ht="12.75">
      <c r="A34" s="84" t="s">
        <v>133</v>
      </c>
      <c r="B34" s="79"/>
      <c r="C34" s="79"/>
      <c r="D34" s="79"/>
      <c r="E34" s="79"/>
      <c r="F34" s="80"/>
      <c r="G34" s="81" t="s">
        <v>60</v>
      </c>
      <c r="H34" s="83"/>
      <c r="I34" s="83"/>
    </row>
    <row r="35" spans="1:9" ht="12.75">
      <c r="A35" s="142" t="s">
        <v>0</v>
      </c>
      <c r="B35" s="143"/>
      <c r="C35" s="143"/>
      <c r="D35" s="143"/>
      <c r="E35" s="143"/>
      <c r="F35" s="144"/>
      <c r="G35" s="77"/>
      <c r="H35" s="21"/>
      <c r="I35" s="21"/>
    </row>
    <row r="36" spans="1:9" ht="12.75">
      <c r="A36" s="84" t="s">
        <v>122</v>
      </c>
      <c r="B36" s="79"/>
      <c r="C36" s="79"/>
      <c r="D36" s="79"/>
      <c r="E36" s="79"/>
      <c r="F36" s="80"/>
      <c r="G36" s="77" t="s">
        <v>61</v>
      </c>
      <c r="H36" s="21"/>
      <c r="I36" s="21"/>
    </row>
    <row r="37" spans="1:9" ht="12.75">
      <c r="A37" s="145" t="s">
        <v>123</v>
      </c>
      <c r="B37" s="146"/>
      <c r="C37" s="146"/>
      <c r="D37" s="146"/>
      <c r="E37" s="146"/>
      <c r="F37" s="147"/>
      <c r="G37" s="77" t="s">
        <v>134</v>
      </c>
      <c r="H37" s="21"/>
      <c r="I37" s="21"/>
    </row>
    <row r="38" spans="1:9" ht="24.75" customHeight="1">
      <c r="A38" s="157" t="s">
        <v>125</v>
      </c>
      <c r="B38" s="154"/>
      <c r="C38" s="154"/>
      <c r="D38" s="154"/>
      <c r="E38" s="154"/>
      <c r="F38" s="155"/>
      <c r="G38" s="77" t="s">
        <v>135</v>
      </c>
      <c r="H38" s="21"/>
      <c r="I38" s="21"/>
    </row>
    <row r="39" spans="1:9" ht="12.75">
      <c r="A39" s="157" t="s">
        <v>136</v>
      </c>
      <c r="B39" s="154"/>
      <c r="C39" s="154"/>
      <c r="D39" s="154"/>
      <c r="E39" s="154"/>
      <c r="F39" s="155"/>
      <c r="G39" s="77" t="s">
        <v>88</v>
      </c>
      <c r="H39" s="21"/>
      <c r="I39" s="21"/>
    </row>
    <row r="40" spans="1:9" ht="12.75">
      <c r="A40" s="157" t="s">
        <v>138</v>
      </c>
      <c r="B40" s="154"/>
      <c r="C40" s="154"/>
      <c r="D40" s="154"/>
      <c r="E40" s="154"/>
      <c r="F40" s="155"/>
      <c r="G40" s="77" t="s">
        <v>137</v>
      </c>
      <c r="H40" s="21"/>
      <c r="I40" s="21"/>
    </row>
    <row r="41" spans="1:9" ht="12.75">
      <c r="A41" s="156" t="s">
        <v>139</v>
      </c>
      <c r="B41" s="154"/>
      <c r="C41" s="154"/>
      <c r="D41" s="154"/>
      <c r="E41" s="154"/>
      <c r="F41" s="155"/>
      <c r="G41" s="77" t="s">
        <v>91</v>
      </c>
      <c r="H41" s="21"/>
      <c r="I41" s="21"/>
    </row>
    <row r="42" spans="1:9" ht="12.75">
      <c r="A42" s="43" t="s">
        <v>7</v>
      </c>
      <c r="B42" s="43"/>
      <c r="C42" s="43"/>
      <c r="D42" s="43"/>
      <c r="E42" s="43"/>
      <c r="F42" s="43"/>
      <c r="G42" s="77" t="s">
        <v>90</v>
      </c>
      <c r="H42" s="21"/>
      <c r="I42" s="21"/>
    </row>
    <row r="43" spans="1:9" ht="12.75">
      <c r="A43" s="156" t="s">
        <v>140</v>
      </c>
      <c r="B43" s="154"/>
      <c r="C43" s="154"/>
      <c r="D43" s="154"/>
      <c r="E43" s="154"/>
      <c r="F43" s="155"/>
      <c r="G43" s="77" t="s">
        <v>89</v>
      </c>
      <c r="H43" s="21"/>
      <c r="I43" s="21"/>
    </row>
    <row r="44" spans="1:9" ht="12.75">
      <c r="A44" s="156" t="s">
        <v>141</v>
      </c>
      <c r="B44" s="154"/>
      <c r="C44" s="154"/>
      <c r="D44" s="154"/>
      <c r="E44" s="154"/>
      <c r="F44" s="155"/>
      <c r="G44" s="77" t="s">
        <v>95</v>
      </c>
      <c r="H44" s="21">
        <v>72013.8</v>
      </c>
      <c r="I44" s="21">
        <v>75167.8</v>
      </c>
    </row>
    <row r="45" spans="1:9" ht="12.75">
      <c r="A45" s="156" t="s">
        <v>8</v>
      </c>
      <c r="B45" s="154"/>
      <c r="C45" s="154"/>
      <c r="D45" s="154"/>
      <c r="E45" s="154"/>
      <c r="F45" s="155"/>
      <c r="G45" s="77" t="s">
        <v>96</v>
      </c>
      <c r="H45" s="21"/>
      <c r="I45" s="21"/>
    </row>
    <row r="46" spans="1:9" ht="12.75">
      <c r="A46" s="157" t="s">
        <v>9</v>
      </c>
      <c r="B46" s="175"/>
      <c r="C46" s="175"/>
      <c r="D46" s="175"/>
      <c r="E46" s="175"/>
      <c r="F46" s="176"/>
      <c r="G46" s="81" t="s">
        <v>62</v>
      </c>
      <c r="H46" s="21"/>
      <c r="I46" s="21"/>
    </row>
    <row r="47" spans="1:9" ht="12.75">
      <c r="A47" s="156" t="s">
        <v>142</v>
      </c>
      <c r="B47" s="154"/>
      <c r="C47" s="154"/>
      <c r="D47" s="154"/>
      <c r="E47" s="154"/>
      <c r="F47" s="155"/>
      <c r="G47" s="77" t="s">
        <v>18</v>
      </c>
      <c r="H47" s="21">
        <v>833.3</v>
      </c>
      <c r="I47" s="21">
        <v>902</v>
      </c>
    </row>
    <row r="48" spans="1:9" ht="12.75">
      <c r="A48" s="156" t="s">
        <v>10</v>
      </c>
      <c r="B48" s="154"/>
      <c r="C48" s="154"/>
      <c r="D48" s="154"/>
      <c r="E48" s="154"/>
      <c r="F48" s="155"/>
      <c r="G48" s="77" t="s">
        <v>97</v>
      </c>
      <c r="H48" s="21"/>
      <c r="I48" s="21"/>
    </row>
    <row r="49" spans="1:9" ht="12.75">
      <c r="A49" s="156" t="s">
        <v>11</v>
      </c>
      <c r="B49" s="154"/>
      <c r="C49" s="154"/>
      <c r="D49" s="154"/>
      <c r="E49" s="154"/>
      <c r="F49" s="155"/>
      <c r="G49" s="77" t="s">
        <v>98</v>
      </c>
      <c r="H49" s="21"/>
      <c r="I49" s="21"/>
    </row>
    <row r="50" spans="1:9" ht="12.75">
      <c r="A50" s="153" t="s">
        <v>143</v>
      </c>
      <c r="B50" s="154"/>
      <c r="C50" s="154"/>
      <c r="D50" s="154"/>
      <c r="E50" s="154"/>
      <c r="F50" s="155"/>
      <c r="G50" s="82" t="s">
        <v>66</v>
      </c>
      <c r="H50" s="83">
        <f>SUM(H36:H49)</f>
        <v>72847.1</v>
      </c>
      <c r="I50" s="83">
        <f>SUM(I36:I49)</f>
        <v>76069.8</v>
      </c>
    </row>
    <row r="51" spans="1:9" ht="12.75">
      <c r="A51" s="153" t="s">
        <v>144</v>
      </c>
      <c r="B51" s="154"/>
      <c r="C51" s="154"/>
      <c r="D51" s="154"/>
      <c r="E51" s="154"/>
      <c r="F51" s="155"/>
      <c r="G51" s="82"/>
      <c r="H51" s="83">
        <f>H33+H34+H50</f>
        <v>105719.5</v>
      </c>
      <c r="I51" s="83">
        <f>I33+I34+I50</f>
        <v>161501</v>
      </c>
    </row>
    <row r="52" spans="1:10" ht="12.75">
      <c r="A52" s="13"/>
      <c r="B52" s="13"/>
      <c r="C52" s="13"/>
      <c r="D52" s="13"/>
      <c r="E52" s="13"/>
      <c r="F52" s="13"/>
      <c r="G52" s="13"/>
      <c r="H52" s="56"/>
      <c r="I52" s="56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9" ht="12.75" customHeight="1">
      <c r="A54" s="158" t="s">
        <v>146</v>
      </c>
      <c r="B54" s="159"/>
      <c r="C54" s="159"/>
      <c r="D54" s="159"/>
      <c r="E54" s="159"/>
      <c r="F54" s="160"/>
      <c r="G54" s="151" t="s">
        <v>145</v>
      </c>
      <c r="H54" s="151" t="s">
        <v>39</v>
      </c>
      <c r="I54" s="151" t="s">
        <v>40</v>
      </c>
    </row>
    <row r="55" spans="1:11" ht="27" customHeight="1">
      <c r="A55" s="161"/>
      <c r="B55" s="162"/>
      <c r="C55" s="162"/>
      <c r="D55" s="162"/>
      <c r="E55" s="162"/>
      <c r="F55" s="163"/>
      <c r="G55" s="152"/>
      <c r="H55" s="152"/>
      <c r="I55" s="152"/>
      <c r="K55" s="85"/>
    </row>
    <row r="56" spans="1:9" ht="12.75">
      <c r="A56" s="153" t="s">
        <v>2</v>
      </c>
      <c r="B56" s="154"/>
      <c r="C56" s="154"/>
      <c r="D56" s="154"/>
      <c r="E56" s="154"/>
      <c r="F56" s="155"/>
      <c r="G56" s="77"/>
      <c r="H56" s="86"/>
      <c r="I56" s="86"/>
    </row>
    <row r="57" spans="1:11" ht="12.75">
      <c r="A57" s="178" t="s">
        <v>147</v>
      </c>
      <c r="B57" s="154"/>
      <c r="C57" s="154"/>
      <c r="D57" s="154"/>
      <c r="E57" s="154"/>
      <c r="F57" s="155"/>
      <c r="G57" s="81" t="s">
        <v>67</v>
      </c>
      <c r="H57" s="21"/>
      <c r="I57" s="21"/>
      <c r="K57" s="85"/>
    </row>
    <row r="58" spans="1:9" ht="12.75">
      <c r="A58" s="84" t="s">
        <v>123</v>
      </c>
      <c r="B58" s="79"/>
      <c r="C58" s="79"/>
      <c r="D58" s="79"/>
      <c r="E58" s="79"/>
      <c r="F58" s="80"/>
      <c r="G58" s="81" t="s">
        <v>148</v>
      </c>
      <c r="H58" s="21"/>
      <c r="I58" s="21"/>
    </row>
    <row r="59" spans="1:11" ht="12.75">
      <c r="A59" s="84" t="s">
        <v>149</v>
      </c>
      <c r="B59" s="79"/>
      <c r="C59" s="79"/>
      <c r="D59" s="79"/>
      <c r="E59" s="79"/>
      <c r="F59" s="80"/>
      <c r="G59" s="81" t="s">
        <v>101</v>
      </c>
      <c r="H59" s="21"/>
      <c r="I59" s="21"/>
      <c r="K59" s="85"/>
    </row>
    <row r="60" spans="1:9" ht="12.75">
      <c r="A60" s="84" t="s">
        <v>150</v>
      </c>
      <c r="B60" s="79"/>
      <c r="C60" s="79"/>
      <c r="D60" s="79"/>
      <c r="E60" s="79"/>
      <c r="F60" s="80"/>
      <c r="G60" s="81" t="s">
        <v>102</v>
      </c>
      <c r="H60" s="21">
        <v>19695.3</v>
      </c>
      <c r="I60" s="21"/>
    </row>
    <row r="61" spans="1:9" ht="12.75">
      <c r="A61" s="84" t="s">
        <v>151</v>
      </c>
      <c r="B61" s="79"/>
      <c r="C61" s="79"/>
      <c r="D61" s="79"/>
      <c r="E61" s="79"/>
      <c r="F61" s="80"/>
      <c r="G61" s="81" t="s">
        <v>103</v>
      </c>
      <c r="H61" s="21">
        <v>16715.5</v>
      </c>
      <c r="I61" s="21">
        <v>20128.8</v>
      </c>
    </row>
    <row r="62" spans="1:9" ht="12.75">
      <c r="A62" s="156" t="s">
        <v>152</v>
      </c>
      <c r="B62" s="154"/>
      <c r="C62" s="154"/>
      <c r="D62" s="154"/>
      <c r="E62" s="154"/>
      <c r="F62" s="155"/>
      <c r="G62" s="77" t="s">
        <v>99</v>
      </c>
      <c r="H62" s="21"/>
      <c r="I62" s="21"/>
    </row>
    <row r="63" spans="1:9" ht="12.75">
      <c r="A63" s="78" t="s">
        <v>154</v>
      </c>
      <c r="B63" s="79"/>
      <c r="C63" s="79"/>
      <c r="D63" s="79"/>
      <c r="E63" s="79"/>
      <c r="F63" s="80"/>
      <c r="G63" s="77" t="s">
        <v>153</v>
      </c>
      <c r="H63" s="21"/>
      <c r="I63" s="21"/>
    </row>
    <row r="64" spans="1:9" ht="12.75">
      <c r="A64" s="179" t="s">
        <v>155</v>
      </c>
      <c r="B64" s="175"/>
      <c r="C64" s="175"/>
      <c r="D64" s="175"/>
      <c r="E64" s="175"/>
      <c r="F64" s="176"/>
      <c r="G64" s="77" t="s">
        <v>100</v>
      </c>
      <c r="H64" s="21">
        <v>4857.8</v>
      </c>
      <c r="I64" s="21"/>
    </row>
    <row r="65" spans="1:9" ht="12.75">
      <c r="A65" s="153" t="s">
        <v>156</v>
      </c>
      <c r="B65" s="154"/>
      <c r="C65" s="154"/>
      <c r="D65" s="154"/>
      <c r="E65" s="154"/>
      <c r="F65" s="155"/>
      <c r="G65" s="82" t="s">
        <v>17</v>
      </c>
      <c r="H65" s="83">
        <f>SUM(H57:H64)</f>
        <v>41268.600000000006</v>
      </c>
      <c r="I65" s="83">
        <f>SUM(I57:I64)</f>
        <v>20128.8</v>
      </c>
    </row>
    <row r="66" spans="1:9" ht="12.75">
      <c r="A66" s="84" t="s">
        <v>159</v>
      </c>
      <c r="B66" s="79"/>
      <c r="C66" s="79"/>
      <c r="D66" s="79"/>
      <c r="E66" s="79"/>
      <c r="F66" s="80"/>
      <c r="G66" s="81" t="s">
        <v>158</v>
      </c>
      <c r="H66" s="83"/>
      <c r="I66" s="83"/>
    </row>
    <row r="67" spans="1:9" ht="12.75">
      <c r="A67" s="180" t="s">
        <v>3</v>
      </c>
      <c r="B67" s="154"/>
      <c r="C67" s="154"/>
      <c r="D67" s="154"/>
      <c r="E67" s="154"/>
      <c r="F67" s="155"/>
      <c r="G67" s="87"/>
      <c r="H67" s="21"/>
      <c r="I67" s="21"/>
    </row>
    <row r="68" spans="1:9" ht="12.75">
      <c r="A68" s="84" t="s">
        <v>147</v>
      </c>
      <c r="B68" s="79"/>
      <c r="C68" s="79"/>
      <c r="D68" s="79"/>
      <c r="E68" s="79"/>
      <c r="F68" s="80"/>
      <c r="G68" s="77" t="s">
        <v>157</v>
      </c>
      <c r="H68" s="21"/>
      <c r="I68" s="21"/>
    </row>
    <row r="69" spans="1:9" ht="12.75">
      <c r="A69" s="84" t="s">
        <v>123</v>
      </c>
      <c r="B69" s="79"/>
      <c r="C69" s="79"/>
      <c r="D69" s="79"/>
      <c r="E69" s="79"/>
      <c r="F69" s="80"/>
      <c r="G69" s="77" t="s">
        <v>160</v>
      </c>
      <c r="H69" s="21"/>
      <c r="I69" s="21"/>
    </row>
    <row r="70" spans="1:9" ht="12.75">
      <c r="A70" s="156" t="s">
        <v>161</v>
      </c>
      <c r="B70" s="154"/>
      <c r="C70" s="154"/>
      <c r="D70" s="154"/>
      <c r="E70" s="154"/>
      <c r="F70" s="155"/>
      <c r="G70" s="77" t="s">
        <v>109</v>
      </c>
      <c r="H70" s="21"/>
      <c r="I70" s="21"/>
    </row>
    <row r="71" spans="1:9" ht="12.75">
      <c r="A71" s="156" t="s">
        <v>162</v>
      </c>
      <c r="B71" s="154"/>
      <c r="C71" s="154"/>
      <c r="D71" s="154"/>
      <c r="E71" s="154"/>
      <c r="F71" s="155"/>
      <c r="G71" s="77" t="s">
        <v>108</v>
      </c>
      <c r="H71" s="21"/>
      <c r="I71" s="21"/>
    </row>
    <row r="72" spans="1:9" ht="12.75">
      <c r="A72" s="156" t="s">
        <v>107</v>
      </c>
      <c r="B72" s="154"/>
      <c r="C72" s="154"/>
      <c r="D72" s="154"/>
      <c r="E72" s="154"/>
      <c r="F72" s="155"/>
      <c r="G72" s="77" t="s">
        <v>106</v>
      </c>
      <c r="H72" s="21"/>
      <c r="I72" s="21"/>
    </row>
    <row r="73" spans="1:9" ht="12.75">
      <c r="A73" s="179" t="s">
        <v>12</v>
      </c>
      <c r="B73" s="175"/>
      <c r="C73" s="175"/>
      <c r="D73" s="175"/>
      <c r="E73" s="175"/>
      <c r="F73" s="176"/>
      <c r="G73" s="77" t="s">
        <v>105</v>
      </c>
      <c r="H73" s="21"/>
      <c r="I73" s="21"/>
    </row>
    <row r="74" spans="1:9" ht="12.75">
      <c r="A74" s="179" t="s">
        <v>163</v>
      </c>
      <c r="B74" s="175"/>
      <c r="C74" s="175"/>
      <c r="D74" s="175"/>
      <c r="E74" s="175"/>
      <c r="F74" s="176"/>
      <c r="G74" s="77" t="s">
        <v>104</v>
      </c>
      <c r="H74" s="21"/>
      <c r="I74" s="21"/>
    </row>
    <row r="75" spans="1:9" ht="12.75">
      <c r="A75" s="153" t="s">
        <v>164</v>
      </c>
      <c r="B75" s="154"/>
      <c r="C75" s="154"/>
      <c r="D75" s="154"/>
      <c r="E75" s="154"/>
      <c r="F75" s="155"/>
      <c r="G75" s="82" t="s">
        <v>15</v>
      </c>
      <c r="H75" s="83">
        <f>SUM(H68:H74)</f>
        <v>0</v>
      </c>
      <c r="I75" s="83">
        <f>SUM(I68:I74)</f>
        <v>0</v>
      </c>
    </row>
    <row r="76" spans="1:9" ht="12.75">
      <c r="A76" s="181" t="s">
        <v>4</v>
      </c>
      <c r="B76" s="175"/>
      <c r="C76" s="175"/>
      <c r="D76" s="175"/>
      <c r="E76" s="175"/>
      <c r="F76" s="176"/>
      <c r="G76" s="87"/>
      <c r="H76" s="21"/>
      <c r="I76" s="21"/>
    </row>
    <row r="77" spans="1:9" ht="12.75">
      <c r="A77" s="178" t="s">
        <v>165</v>
      </c>
      <c r="B77" s="154"/>
      <c r="C77" s="154"/>
      <c r="D77" s="154"/>
      <c r="E77" s="154"/>
      <c r="F77" s="155"/>
      <c r="G77" s="77" t="s">
        <v>110</v>
      </c>
      <c r="H77" s="21">
        <v>64761.4</v>
      </c>
      <c r="I77" s="21">
        <v>64761.4</v>
      </c>
    </row>
    <row r="78" spans="1:9" ht="12.75">
      <c r="A78" s="178" t="s">
        <v>13</v>
      </c>
      <c r="B78" s="154"/>
      <c r="C78" s="154"/>
      <c r="D78" s="154"/>
      <c r="E78" s="154"/>
      <c r="F78" s="155"/>
      <c r="G78" s="81" t="s">
        <v>111</v>
      </c>
      <c r="H78" s="21"/>
      <c r="I78" s="21"/>
    </row>
    <row r="79" spans="1:9" ht="12.75">
      <c r="A79" s="156" t="s">
        <v>14</v>
      </c>
      <c r="B79" s="154"/>
      <c r="C79" s="154"/>
      <c r="D79" s="154"/>
      <c r="E79" s="154"/>
      <c r="F79" s="155"/>
      <c r="G79" s="77" t="s">
        <v>112</v>
      </c>
      <c r="H79" s="21"/>
      <c r="I79" s="21"/>
    </row>
    <row r="80" spans="1:9" ht="12.75">
      <c r="A80" s="156" t="s">
        <v>83</v>
      </c>
      <c r="B80" s="154"/>
      <c r="C80" s="154"/>
      <c r="D80" s="154"/>
      <c r="E80" s="154"/>
      <c r="F80" s="155"/>
      <c r="G80" s="77" t="s">
        <v>113</v>
      </c>
      <c r="H80" s="21"/>
      <c r="I80" s="21"/>
    </row>
    <row r="81" spans="1:9" ht="12.75">
      <c r="A81" s="148" t="s">
        <v>166</v>
      </c>
      <c r="B81" s="149"/>
      <c r="C81" s="149"/>
      <c r="D81" s="149"/>
      <c r="E81" s="149"/>
      <c r="F81" s="150"/>
      <c r="G81" s="77" t="s">
        <v>114</v>
      </c>
      <c r="H81" s="21">
        <v>-310.5</v>
      </c>
      <c r="I81" s="21">
        <v>76610.8</v>
      </c>
    </row>
    <row r="82" spans="1:11" ht="27" customHeight="1">
      <c r="A82" s="164" t="s">
        <v>168</v>
      </c>
      <c r="B82" s="165"/>
      <c r="C82" s="165"/>
      <c r="D82" s="165"/>
      <c r="E82" s="165"/>
      <c r="F82" s="166"/>
      <c r="G82" s="82" t="s">
        <v>167</v>
      </c>
      <c r="H82" s="100">
        <f>SUM(H77:H81)</f>
        <v>64450.9</v>
      </c>
      <c r="I82" s="100">
        <f>SUM(I77:I81)</f>
        <v>141372.2</v>
      </c>
      <c r="K82" s="85"/>
    </row>
    <row r="83" spans="1:12" ht="12.75">
      <c r="A83" s="156" t="s">
        <v>169</v>
      </c>
      <c r="B83" s="154"/>
      <c r="C83" s="154"/>
      <c r="D83" s="154"/>
      <c r="E83" s="154"/>
      <c r="F83" s="155"/>
      <c r="G83" s="77" t="s">
        <v>115</v>
      </c>
      <c r="H83" s="21"/>
      <c r="I83" s="21"/>
      <c r="K83" s="85"/>
      <c r="L83" s="85"/>
    </row>
    <row r="84" spans="1:11" ht="12.75">
      <c r="A84" s="153" t="s">
        <v>170</v>
      </c>
      <c r="B84" s="154"/>
      <c r="C84" s="154"/>
      <c r="D84" s="154"/>
      <c r="E84" s="154"/>
      <c r="F84" s="155"/>
      <c r="G84" s="82" t="s">
        <v>16</v>
      </c>
      <c r="H84" s="83">
        <f>H82</f>
        <v>64450.9</v>
      </c>
      <c r="I84" s="83">
        <f>I82</f>
        <v>141372.2</v>
      </c>
      <c r="K84" s="85"/>
    </row>
    <row r="85" spans="1:9" ht="12.75">
      <c r="A85" s="180" t="s">
        <v>171</v>
      </c>
      <c r="B85" s="154"/>
      <c r="C85" s="154"/>
      <c r="D85" s="154"/>
      <c r="E85" s="154"/>
      <c r="F85" s="155"/>
      <c r="G85" s="87"/>
      <c r="H85" s="83">
        <f>H82+H65</f>
        <v>105719.5</v>
      </c>
      <c r="I85" s="83">
        <f>I82+I65</f>
        <v>161501</v>
      </c>
    </row>
    <row r="86" spans="1:9" ht="12.75">
      <c r="A86" s="88"/>
      <c r="B86" s="88"/>
      <c r="C86" s="88"/>
      <c r="D86" s="88"/>
      <c r="E86" s="88"/>
      <c r="F86" s="88"/>
      <c r="G86" s="89"/>
      <c r="H86" s="90"/>
      <c r="I86" s="90"/>
    </row>
  </sheetData>
  <sheetProtection/>
  <mergeCells count="64">
    <mergeCell ref="A8:G8"/>
    <mergeCell ref="A19:B19"/>
    <mergeCell ref="D16:H16"/>
    <mergeCell ref="D14:I14"/>
    <mergeCell ref="G2:I2"/>
    <mergeCell ref="G5:I5"/>
    <mergeCell ref="G4:I4"/>
    <mergeCell ref="G7:I7"/>
    <mergeCell ref="D15:I15"/>
    <mergeCell ref="A79:F79"/>
    <mergeCell ref="A80:F80"/>
    <mergeCell ref="A83:F83"/>
    <mergeCell ref="A84:F84"/>
    <mergeCell ref="A85:F85"/>
    <mergeCell ref="A73:F73"/>
    <mergeCell ref="A74:F74"/>
    <mergeCell ref="A75:F75"/>
    <mergeCell ref="A76:F76"/>
    <mergeCell ref="A77:F77"/>
    <mergeCell ref="A56:F56"/>
    <mergeCell ref="A57:F57"/>
    <mergeCell ref="A62:F62"/>
    <mergeCell ref="A78:F78"/>
    <mergeCell ref="A64:F64"/>
    <mergeCell ref="A65:F65"/>
    <mergeCell ref="A67:F67"/>
    <mergeCell ref="A70:F70"/>
    <mergeCell ref="A71:F71"/>
    <mergeCell ref="A72:F72"/>
    <mergeCell ref="A46:F46"/>
    <mergeCell ref="A47:F47"/>
    <mergeCell ref="A48:F48"/>
    <mergeCell ref="A49:F49"/>
    <mergeCell ref="A50:F50"/>
    <mergeCell ref="A51:F51"/>
    <mergeCell ref="A21:F21"/>
    <mergeCell ref="A22:F22"/>
    <mergeCell ref="A24:F24"/>
    <mergeCell ref="A30:F30"/>
    <mergeCell ref="A31:F31"/>
    <mergeCell ref="H20:I20"/>
    <mergeCell ref="A26:F26"/>
    <mergeCell ref="A23:F23"/>
    <mergeCell ref="A25:F25"/>
    <mergeCell ref="H54:H55"/>
    <mergeCell ref="I54:I55"/>
    <mergeCell ref="A54:F55"/>
    <mergeCell ref="A82:F82"/>
    <mergeCell ref="A27:F27"/>
    <mergeCell ref="A28:F28"/>
    <mergeCell ref="A29:F29"/>
    <mergeCell ref="A38:F38"/>
    <mergeCell ref="A39:F39"/>
    <mergeCell ref="A32:F32"/>
    <mergeCell ref="A35:F35"/>
    <mergeCell ref="A37:F37"/>
    <mergeCell ref="A81:F81"/>
    <mergeCell ref="G54:G55"/>
    <mergeCell ref="A33:F33"/>
    <mergeCell ref="A41:F41"/>
    <mergeCell ref="A43:F43"/>
    <mergeCell ref="A44:F44"/>
    <mergeCell ref="A45:F45"/>
    <mergeCell ref="A40:F40"/>
  </mergeCells>
  <printOptions/>
  <pageMargins left="0.9055118110236221" right="0.1968503937007874" top="0.7874015748031497" bottom="0.7874015748031497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54"/>
  <sheetViews>
    <sheetView view="pageBreakPreview" zoomScaleNormal="55" zoomScaleSheetLayoutView="100" workbookViewId="0" topLeftCell="A24">
      <selection activeCell="A56" sqref="A56:IV70"/>
    </sheetView>
  </sheetViews>
  <sheetFormatPr defaultColWidth="9.140625" defaultRowHeight="12.75"/>
  <cols>
    <col min="1" max="1" width="9.140625" style="57" customWidth="1"/>
    <col min="2" max="2" width="17.28125" style="57" customWidth="1"/>
    <col min="3" max="3" width="23.7109375" style="57" customWidth="1"/>
    <col min="4" max="4" width="9.140625" style="57" customWidth="1"/>
    <col min="5" max="5" width="13.7109375" style="57" customWidth="1"/>
    <col min="6" max="6" width="19.140625" style="57" customWidth="1"/>
    <col min="7" max="7" width="9.140625" style="57" customWidth="1"/>
    <col min="8" max="8" width="12.8515625" style="57" customWidth="1"/>
    <col min="9" max="9" width="12.140625" style="57" customWidth="1"/>
    <col min="10" max="16384" width="9.140625" style="57" customWidth="1"/>
  </cols>
  <sheetData>
    <row r="1" spans="1:12" ht="55.5" customHeight="1">
      <c r="A1" s="101"/>
      <c r="B1" s="101"/>
      <c r="C1" s="101"/>
      <c r="D1" s="101"/>
      <c r="E1" s="101"/>
      <c r="F1" s="202" t="s">
        <v>360</v>
      </c>
      <c r="G1" s="202"/>
      <c r="H1" s="102"/>
      <c r="I1" s="102"/>
      <c r="L1" s="101"/>
    </row>
    <row r="2" spans="1:12" ht="12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2.75">
      <c r="A3" s="101"/>
      <c r="B3" s="101"/>
      <c r="C3" s="101"/>
      <c r="D3" s="101"/>
      <c r="E3" s="101"/>
      <c r="F3" s="101"/>
      <c r="G3" s="103"/>
      <c r="H3" s="101"/>
      <c r="I3" s="101"/>
      <c r="J3" s="101"/>
      <c r="K3" s="101"/>
      <c r="L3" s="101"/>
    </row>
    <row r="4" spans="1:12" ht="28.5" customHeight="1">
      <c r="A4" s="194" t="s">
        <v>362</v>
      </c>
      <c r="B4" s="194"/>
      <c r="C4" s="194"/>
      <c r="D4" s="194"/>
      <c r="E4" s="194"/>
      <c r="F4" s="194"/>
      <c r="G4" s="104"/>
      <c r="H4" s="104"/>
      <c r="I4" s="104"/>
      <c r="J4" s="104"/>
      <c r="K4" s="104"/>
      <c r="L4" s="101"/>
    </row>
    <row r="5" spans="1:12" ht="12.75">
      <c r="A5" s="195" t="s">
        <v>384</v>
      </c>
      <c r="B5" s="195"/>
      <c r="C5" s="195"/>
      <c r="D5" s="195"/>
      <c r="E5" s="195"/>
      <c r="F5" s="195"/>
      <c r="G5" s="105"/>
      <c r="H5" s="105"/>
      <c r="I5" s="105"/>
      <c r="J5" s="101"/>
      <c r="K5" s="101"/>
      <c r="L5" s="101"/>
    </row>
    <row r="6" spans="1:10" ht="12.75">
      <c r="A6" s="106" t="s">
        <v>121</v>
      </c>
      <c r="B6" s="101"/>
      <c r="C6" s="107" t="s">
        <v>361</v>
      </c>
      <c r="D6" s="101"/>
      <c r="E6" s="101"/>
      <c r="F6" s="101"/>
      <c r="G6" s="101"/>
      <c r="H6" s="101"/>
      <c r="J6" s="101"/>
    </row>
    <row r="7" spans="1:10" ht="12.75">
      <c r="A7" s="101"/>
      <c r="B7" s="101"/>
      <c r="C7" s="101"/>
      <c r="D7" s="101"/>
      <c r="E7" s="101"/>
      <c r="F7" s="101"/>
      <c r="G7" s="101"/>
      <c r="H7" s="101"/>
      <c r="J7" s="101"/>
    </row>
    <row r="8" spans="1:10" ht="12.75">
      <c r="A8" s="197" t="s">
        <v>289</v>
      </c>
      <c r="B8" s="197"/>
      <c r="C8" s="107" t="s">
        <v>382</v>
      </c>
      <c r="D8" s="101"/>
      <c r="E8" s="101"/>
      <c r="F8" s="101"/>
      <c r="G8" s="101"/>
      <c r="H8" s="101"/>
      <c r="J8" s="101"/>
    </row>
    <row r="9" spans="1:10" ht="12.75">
      <c r="A9" s="101"/>
      <c r="B9" s="101"/>
      <c r="C9" s="101"/>
      <c r="D9" s="101"/>
      <c r="E9" s="101"/>
      <c r="F9" s="101"/>
      <c r="G9" s="101"/>
      <c r="H9" s="101"/>
      <c r="J9" s="101"/>
    </row>
    <row r="10" spans="1:10" ht="12.75">
      <c r="A10" s="197" t="s">
        <v>290</v>
      </c>
      <c r="B10" s="197"/>
      <c r="C10" s="107" t="s">
        <v>291</v>
      </c>
      <c r="D10" s="107"/>
      <c r="E10" s="107"/>
      <c r="F10" s="107"/>
      <c r="G10" s="107"/>
      <c r="H10" s="107"/>
      <c r="J10" s="101"/>
    </row>
    <row r="11" spans="1:10" ht="12.75">
      <c r="A11" s="101"/>
      <c r="B11" s="101"/>
      <c r="C11" s="101"/>
      <c r="D11" s="101"/>
      <c r="E11" s="101"/>
      <c r="F11" s="101"/>
      <c r="G11" s="101"/>
      <c r="H11" s="101"/>
      <c r="J11" s="101"/>
    </row>
    <row r="12" spans="1:10" ht="12.75" customHeight="1">
      <c r="A12" s="198" t="s">
        <v>292</v>
      </c>
      <c r="B12" s="198"/>
      <c r="C12" s="108" t="s">
        <v>293</v>
      </c>
      <c r="D12" s="108"/>
      <c r="E12" s="108"/>
      <c r="F12" s="108"/>
      <c r="G12" s="108"/>
      <c r="H12" s="108"/>
      <c r="J12" s="108"/>
    </row>
    <row r="13" spans="1:10" ht="12.75">
      <c r="A13" s="101"/>
      <c r="B13" s="101"/>
      <c r="C13" s="101"/>
      <c r="D13" s="101"/>
      <c r="E13" s="101"/>
      <c r="F13" s="101"/>
      <c r="G13" s="101"/>
      <c r="H13" s="101"/>
      <c r="J13" s="101"/>
    </row>
    <row r="14" spans="1:10" ht="12.75">
      <c r="A14" s="197" t="s">
        <v>294</v>
      </c>
      <c r="B14" s="197"/>
      <c r="C14" s="107" t="s">
        <v>295</v>
      </c>
      <c r="D14" s="107"/>
      <c r="E14" s="107"/>
      <c r="F14" s="107"/>
      <c r="G14" s="107"/>
      <c r="H14" s="107"/>
      <c r="J14" s="107"/>
    </row>
    <row r="15" spans="1:12" ht="12.75">
      <c r="A15" s="101"/>
      <c r="B15" s="101"/>
      <c r="C15" s="101"/>
      <c r="D15" s="101"/>
      <c r="E15" s="101"/>
      <c r="F15" s="101"/>
      <c r="G15" s="101"/>
      <c r="H15" s="101"/>
      <c r="J15" s="101"/>
      <c r="K15" s="101"/>
      <c r="L15" s="101"/>
    </row>
    <row r="16" spans="1:12" ht="33" customHeight="1">
      <c r="A16" s="196" t="s">
        <v>20</v>
      </c>
      <c r="B16" s="196"/>
      <c r="C16" s="201" t="s">
        <v>296</v>
      </c>
      <c r="D16" s="201"/>
      <c r="E16" s="201"/>
      <c r="F16" s="201"/>
      <c r="G16" s="109"/>
      <c r="H16" s="109"/>
      <c r="J16" s="107"/>
      <c r="K16" s="107"/>
      <c r="L16" s="107"/>
    </row>
    <row r="17" spans="1:12" ht="12.75">
      <c r="A17" s="101"/>
      <c r="B17" s="196"/>
      <c r="C17" s="196"/>
      <c r="D17" s="196"/>
      <c r="E17" s="196"/>
      <c r="F17" s="196"/>
      <c r="G17" s="196"/>
      <c r="H17" s="101"/>
      <c r="I17" s="101"/>
      <c r="J17" s="101"/>
      <c r="K17" s="101"/>
      <c r="L17" s="101"/>
    </row>
    <row r="18" spans="6:7" ht="12.75">
      <c r="F18" s="203" t="s">
        <v>35</v>
      </c>
      <c r="G18" s="203"/>
    </row>
    <row r="19" spans="1:9" ht="24">
      <c r="A19" s="111" t="s">
        <v>303</v>
      </c>
      <c r="B19" s="111"/>
      <c r="C19" s="111"/>
      <c r="D19" s="112" t="s">
        <v>304</v>
      </c>
      <c r="E19" s="112" t="s">
        <v>116</v>
      </c>
      <c r="F19" s="112" t="s">
        <v>69</v>
      </c>
      <c r="G19" s="113"/>
      <c r="H19" s="110"/>
      <c r="I19" s="110"/>
    </row>
    <row r="20" spans="1:9" ht="12.75">
      <c r="A20" s="199" t="s">
        <v>305</v>
      </c>
      <c r="B20" s="199"/>
      <c r="C20" s="199"/>
      <c r="D20" s="114" t="s">
        <v>306</v>
      </c>
      <c r="E20" s="114" t="s">
        <v>307</v>
      </c>
      <c r="F20" s="114" t="s">
        <v>308</v>
      </c>
      <c r="G20" s="113"/>
      <c r="H20" s="110"/>
      <c r="I20" s="110"/>
    </row>
    <row r="21" spans="1:9" ht="12.75">
      <c r="A21" s="190" t="s">
        <v>363</v>
      </c>
      <c r="B21" s="190"/>
      <c r="C21" s="190"/>
      <c r="D21" s="115" t="s">
        <v>42</v>
      </c>
      <c r="E21" s="116">
        <f>295465.3-140-70</f>
        <v>295255.3</v>
      </c>
      <c r="F21" s="116">
        <f>551359.8-0.3</f>
        <v>551359.5</v>
      </c>
      <c r="G21" s="113"/>
      <c r="H21" s="110"/>
      <c r="I21" s="110"/>
    </row>
    <row r="22" spans="1:9" ht="12.75">
      <c r="A22" s="200" t="s">
        <v>172</v>
      </c>
      <c r="B22" s="200"/>
      <c r="C22" s="200"/>
      <c r="D22" s="115" t="s">
        <v>43</v>
      </c>
      <c r="E22" s="117">
        <v>348780.9</v>
      </c>
      <c r="F22" s="117">
        <v>427032.1</v>
      </c>
      <c r="G22" s="118"/>
      <c r="H22" s="113"/>
      <c r="I22" s="113"/>
    </row>
    <row r="23" spans="1:9" ht="12.75">
      <c r="A23" s="191" t="s">
        <v>364</v>
      </c>
      <c r="B23" s="191"/>
      <c r="C23" s="191"/>
      <c r="D23" s="119" t="s">
        <v>70</v>
      </c>
      <c r="E23" s="120">
        <f>E21-E22</f>
        <v>-53525.600000000035</v>
      </c>
      <c r="F23" s="120">
        <f>F21-F22</f>
        <v>124327.40000000002</v>
      </c>
      <c r="G23" s="118"/>
      <c r="H23" s="113"/>
      <c r="I23" s="113"/>
    </row>
    <row r="24" spans="1:9" ht="12.75">
      <c r="A24" s="200" t="s">
        <v>365</v>
      </c>
      <c r="B24" s="200"/>
      <c r="C24" s="200"/>
      <c r="D24" s="115" t="s">
        <v>71</v>
      </c>
      <c r="E24" s="116"/>
      <c r="F24" s="116"/>
      <c r="G24" s="118"/>
      <c r="H24" s="113"/>
      <c r="I24" s="113"/>
    </row>
    <row r="25" spans="1:8" s="13" customFormat="1" ht="21.75" customHeight="1">
      <c r="A25" s="190" t="s">
        <v>366</v>
      </c>
      <c r="B25" s="190"/>
      <c r="C25" s="190"/>
      <c r="D25" s="115" t="s">
        <v>72</v>
      </c>
      <c r="E25" s="116">
        <v>23395.7</v>
      </c>
      <c r="F25" s="116">
        <v>97518</v>
      </c>
      <c r="G25" s="57"/>
      <c r="H25" s="56"/>
    </row>
    <row r="26" spans="1:8" s="13" customFormat="1" ht="11.25" customHeight="1">
      <c r="A26" s="192" t="s">
        <v>367</v>
      </c>
      <c r="B26" s="192"/>
      <c r="C26" s="192"/>
      <c r="D26" s="115" t="s">
        <v>73</v>
      </c>
      <c r="E26" s="117"/>
      <c r="F26" s="117"/>
      <c r="G26" s="57"/>
      <c r="H26" s="56"/>
    </row>
    <row r="27" spans="1:20" s="13" customFormat="1" ht="12.75">
      <c r="A27" s="192" t="s">
        <v>117</v>
      </c>
      <c r="B27" s="192"/>
      <c r="C27" s="192"/>
      <c r="D27" s="112" t="s">
        <v>74</v>
      </c>
      <c r="E27" s="116"/>
      <c r="F27" s="116">
        <v>8109.1</v>
      </c>
      <c r="G27" s="85"/>
      <c r="L27" s="50"/>
      <c r="M27" s="50"/>
      <c r="N27" s="50"/>
      <c r="O27" s="50"/>
      <c r="P27" s="50"/>
      <c r="Q27" s="50"/>
      <c r="R27" s="50"/>
      <c r="S27" s="50"/>
      <c r="T27" s="50"/>
    </row>
    <row r="28" spans="1:7" s="13" customFormat="1" ht="32.25" customHeight="1">
      <c r="A28" s="193" t="s">
        <v>368</v>
      </c>
      <c r="B28" s="193"/>
      <c r="C28" s="193"/>
      <c r="D28" s="119" t="s">
        <v>44</v>
      </c>
      <c r="E28" s="120">
        <f>E23-E25+E27-E26</f>
        <v>-76921.30000000003</v>
      </c>
      <c r="F28" s="120">
        <f>F23-F25+F27-F26</f>
        <v>34918.50000000002</v>
      </c>
      <c r="G28" s="57"/>
    </row>
    <row r="29" spans="1:7" s="13" customFormat="1" ht="11.25" customHeight="1">
      <c r="A29" s="190" t="s">
        <v>173</v>
      </c>
      <c r="B29" s="190"/>
      <c r="C29" s="190"/>
      <c r="D29" s="115" t="s">
        <v>75</v>
      </c>
      <c r="E29" s="116" t="s">
        <v>311</v>
      </c>
      <c r="F29" s="116" t="s">
        <v>311</v>
      </c>
      <c r="G29" s="57"/>
    </row>
    <row r="30" spans="1:6" ht="12.75">
      <c r="A30" s="190" t="s">
        <v>174</v>
      </c>
      <c r="B30" s="190"/>
      <c r="C30" s="190"/>
      <c r="D30" s="115" t="s">
        <v>76</v>
      </c>
      <c r="E30" s="116" t="s">
        <v>311</v>
      </c>
      <c r="F30" s="116" t="s">
        <v>311</v>
      </c>
    </row>
    <row r="31" spans="1:6" ht="12.75">
      <c r="A31" s="190" t="s">
        <v>369</v>
      </c>
      <c r="B31" s="190"/>
      <c r="C31" s="190"/>
      <c r="D31" s="115" t="s">
        <v>77</v>
      </c>
      <c r="E31" s="116" t="s">
        <v>311</v>
      </c>
      <c r="F31" s="116" t="s">
        <v>311</v>
      </c>
    </row>
    <row r="32" spans="1:6" ht="12.75">
      <c r="A32" s="190" t="s">
        <v>175</v>
      </c>
      <c r="B32" s="190"/>
      <c r="C32" s="190"/>
      <c r="D32" s="115" t="s">
        <v>78</v>
      </c>
      <c r="E32" s="116" t="s">
        <v>311</v>
      </c>
      <c r="F32" s="116" t="s">
        <v>311</v>
      </c>
    </row>
    <row r="33" spans="1:6" ht="12.75">
      <c r="A33" s="190" t="s">
        <v>370</v>
      </c>
      <c r="B33" s="190"/>
      <c r="C33" s="190"/>
      <c r="D33" s="115" t="s">
        <v>79</v>
      </c>
      <c r="E33" s="116" t="s">
        <v>311</v>
      </c>
      <c r="F33" s="116" t="s">
        <v>311</v>
      </c>
    </row>
    <row r="34" spans="1:6" ht="12.75">
      <c r="A34" s="191" t="s">
        <v>371</v>
      </c>
      <c r="B34" s="191"/>
      <c r="C34" s="191"/>
      <c r="D34" s="119" t="s">
        <v>59</v>
      </c>
      <c r="E34" s="120">
        <f>E28</f>
        <v>-76921.30000000003</v>
      </c>
      <c r="F34" s="120">
        <f>F28</f>
        <v>34918.50000000002</v>
      </c>
    </row>
    <row r="35" spans="1:6" ht="12.75">
      <c r="A35" s="190" t="s">
        <v>176</v>
      </c>
      <c r="B35" s="190"/>
      <c r="C35" s="190"/>
      <c r="D35" s="115" t="s">
        <v>60</v>
      </c>
      <c r="E35" s="116" t="s">
        <v>311</v>
      </c>
      <c r="F35" s="116" t="s">
        <v>311</v>
      </c>
    </row>
    <row r="36" spans="1:6" ht="12.75">
      <c r="A36" s="191" t="s">
        <v>372</v>
      </c>
      <c r="B36" s="191"/>
      <c r="C36" s="191"/>
      <c r="D36" s="119" t="s">
        <v>66</v>
      </c>
      <c r="E36" s="120">
        <f>E34</f>
        <v>-76921.30000000003</v>
      </c>
      <c r="F36" s="120">
        <f>F34</f>
        <v>34918.50000000002</v>
      </c>
    </row>
    <row r="37" spans="1:6" ht="12.75">
      <c r="A37" s="190" t="s">
        <v>373</v>
      </c>
      <c r="B37" s="190"/>
      <c r="C37" s="190"/>
      <c r="D37" s="115" t="s">
        <v>177</v>
      </c>
      <c r="E37" s="116" t="s">
        <v>311</v>
      </c>
      <c r="F37" s="116" t="s">
        <v>311</v>
      </c>
    </row>
    <row r="38" spans="1:6" ht="12.75">
      <c r="A38" s="191" t="s">
        <v>374</v>
      </c>
      <c r="B38" s="191"/>
      <c r="C38" s="191"/>
      <c r="D38" s="119" t="s">
        <v>17</v>
      </c>
      <c r="E38" s="120">
        <f>E36</f>
        <v>-76921.30000000003</v>
      </c>
      <c r="F38" s="120">
        <f>F36</f>
        <v>34918.50000000002</v>
      </c>
    </row>
    <row r="39" spans="1:6" ht="12.75">
      <c r="A39" s="190" t="s">
        <v>375</v>
      </c>
      <c r="B39" s="190"/>
      <c r="C39" s="190"/>
      <c r="D39" s="115"/>
      <c r="E39" s="116" t="s">
        <v>311</v>
      </c>
      <c r="F39" s="116" t="s">
        <v>311</v>
      </c>
    </row>
    <row r="40" spans="1:6" ht="12.75">
      <c r="A40" s="190" t="s">
        <v>376</v>
      </c>
      <c r="B40" s="190"/>
      <c r="C40" s="190"/>
      <c r="D40" s="115"/>
      <c r="E40" s="116" t="s">
        <v>311</v>
      </c>
      <c r="F40" s="116" t="s">
        <v>311</v>
      </c>
    </row>
    <row r="41" spans="1:6" ht="12.75">
      <c r="A41" s="191" t="s">
        <v>377</v>
      </c>
      <c r="B41" s="191"/>
      <c r="C41" s="191"/>
      <c r="D41" s="119" t="s">
        <v>15</v>
      </c>
      <c r="E41" s="120" t="s">
        <v>311</v>
      </c>
      <c r="F41" s="120" t="s">
        <v>311</v>
      </c>
    </row>
    <row r="42" spans="1:6" ht="12.75">
      <c r="A42" s="190" t="s">
        <v>68</v>
      </c>
      <c r="B42" s="190"/>
      <c r="C42" s="190"/>
      <c r="D42" s="115"/>
      <c r="E42" s="116" t="s">
        <v>311</v>
      </c>
      <c r="F42" s="116" t="s">
        <v>311</v>
      </c>
    </row>
    <row r="43" spans="1:6" ht="12.75">
      <c r="A43" s="190" t="s">
        <v>178</v>
      </c>
      <c r="B43" s="190"/>
      <c r="C43" s="190"/>
      <c r="D43" s="115" t="s">
        <v>110</v>
      </c>
      <c r="E43" s="116" t="s">
        <v>311</v>
      </c>
      <c r="F43" s="116" t="s">
        <v>311</v>
      </c>
    </row>
    <row r="44" spans="1:6" ht="12.75">
      <c r="A44" s="190" t="s">
        <v>179</v>
      </c>
      <c r="B44" s="190"/>
      <c r="C44" s="190"/>
      <c r="D44" s="115" t="s">
        <v>111</v>
      </c>
      <c r="E44" s="116" t="s">
        <v>311</v>
      </c>
      <c r="F44" s="116" t="s">
        <v>311</v>
      </c>
    </row>
    <row r="45" spans="1:6" ht="12.75">
      <c r="A45" s="190" t="s">
        <v>378</v>
      </c>
      <c r="B45" s="190"/>
      <c r="C45" s="190"/>
      <c r="D45" s="115" t="s">
        <v>112</v>
      </c>
      <c r="E45" s="116" t="s">
        <v>311</v>
      </c>
      <c r="F45" s="116" t="s">
        <v>311</v>
      </c>
    </row>
    <row r="46" spans="1:6" ht="12.75">
      <c r="A46" s="190" t="s">
        <v>180</v>
      </c>
      <c r="B46" s="190"/>
      <c r="C46" s="190"/>
      <c r="D46" s="115" t="s">
        <v>113</v>
      </c>
      <c r="E46" s="116" t="s">
        <v>311</v>
      </c>
      <c r="F46" s="116" t="s">
        <v>311</v>
      </c>
    </row>
    <row r="47" spans="1:6" ht="12.75">
      <c r="A47" s="190" t="s">
        <v>228</v>
      </c>
      <c r="B47" s="190"/>
      <c r="C47" s="190"/>
      <c r="D47" s="115" t="s">
        <v>114</v>
      </c>
      <c r="E47" s="116" t="s">
        <v>311</v>
      </c>
      <c r="F47" s="116" t="s">
        <v>311</v>
      </c>
    </row>
    <row r="48" spans="1:6" ht="12.75">
      <c r="A48" s="190" t="s">
        <v>182</v>
      </c>
      <c r="B48" s="190"/>
      <c r="C48" s="190"/>
      <c r="D48" s="115" t="s">
        <v>181</v>
      </c>
      <c r="E48" s="116" t="s">
        <v>311</v>
      </c>
      <c r="F48" s="116" t="s">
        <v>311</v>
      </c>
    </row>
    <row r="49" spans="1:6" ht="12.75">
      <c r="A49" s="190" t="s">
        <v>184</v>
      </c>
      <c r="B49" s="190"/>
      <c r="C49" s="190"/>
      <c r="D49" s="115" t="s">
        <v>183</v>
      </c>
      <c r="E49" s="116" t="s">
        <v>311</v>
      </c>
      <c r="F49" s="116" t="s">
        <v>311</v>
      </c>
    </row>
    <row r="50" spans="1:6" ht="12.75">
      <c r="A50" s="190" t="s">
        <v>186</v>
      </c>
      <c r="B50" s="190"/>
      <c r="C50" s="190"/>
      <c r="D50" s="115" t="s">
        <v>185</v>
      </c>
      <c r="E50" s="116" t="s">
        <v>311</v>
      </c>
      <c r="F50" s="116" t="s">
        <v>311</v>
      </c>
    </row>
    <row r="51" spans="1:6" ht="12.75">
      <c r="A51" s="190" t="s">
        <v>188</v>
      </c>
      <c r="B51" s="190"/>
      <c r="C51" s="190"/>
      <c r="D51" s="115" t="s">
        <v>187</v>
      </c>
      <c r="E51" s="116" t="s">
        <v>311</v>
      </c>
      <c r="F51" s="116" t="s">
        <v>311</v>
      </c>
    </row>
    <row r="52" spans="1:6" ht="12.75">
      <c r="A52" s="190" t="s">
        <v>190</v>
      </c>
      <c r="B52" s="190"/>
      <c r="C52" s="190"/>
      <c r="D52" s="115" t="s">
        <v>189</v>
      </c>
      <c r="E52" s="116" t="s">
        <v>311</v>
      </c>
      <c r="F52" s="116" t="s">
        <v>311</v>
      </c>
    </row>
    <row r="53" spans="1:6" ht="12.75">
      <c r="A53" s="190" t="s">
        <v>379</v>
      </c>
      <c r="B53" s="190"/>
      <c r="C53" s="190"/>
      <c r="D53" s="115" t="s">
        <v>167</v>
      </c>
      <c r="E53" s="116" t="s">
        <v>311</v>
      </c>
      <c r="F53" s="116" t="s">
        <v>311</v>
      </c>
    </row>
    <row r="54" spans="1:6" ht="12.75">
      <c r="A54" s="191" t="s">
        <v>380</v>
      </c>
      <c r="B54" s="191"/>
      <c r="C54" s="191"/>
      <c r="D54" s="119" t="s">
        <v>16</v>
      </c>
      <c r="E54" s="120">
        <f>E38</f>
        <v>-76921.30000000003</v>
      </c>
      <c r="F54" s="120">
        <f>F38</f>
        <v>34918.50000000002</v>
      </c>
    </row>
  </sheetData>
  <sheetProtection/>
  <mergeCells count="46">
    <mergeCell ref="F1:G1"/>
    <mergeCell ref="A14:B14"/>
    <mergeCell ref="A47:C47"/>
    <mergeCell ref="A48:C48"/>
    <mergeCell ref="F18:G18"/>
    <mergeCell ref="B17:G17"/>
    <mergeCell ref="A20:C20"/>
    <mergeCell ref="A21:C21"/>
    <mergeCell ref="A22:C22"/>
    <mergeCell ref="C16:F16"/>
    <mergeCell ref="A23:C23"/>
    <mergeCell ref="A24:C24"/>
    <mergeCell ref="A25:C25"/>
    <mergeCell ref="A26:C26"/>
    <mergeCell ref="A4:F4"/>
    <mergeCell ref="A5:F5"/>
    <mergeCell ref="A16:B16"/>
    <mergeCell ref="A8:B8"/>
    <mergeCell ref="A10:B10"/>
    <mergeCell ref="A12:B12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54:C54"/>
    <mergeCell ref="A46:C46"/>
    <mergeCell ref="A49:C49"/>
    <mergeCell ref="A50:C50"/>
    <mergeCell ref="A51:C51"/>
    <mergeCell ref="A52:C52"/>
    <mergeCell ref="A53:C53"/>
  </mergeCells>
  <printOptions/>
  <pageMargins left="1.2598425196850394" right="0.3937007874015748" top="0.7874015748031497" bottom="0.7874015748031497" header="0.5118110236220472" footer="0.5118110236220472"/>
  <pageSetup fitToWidth="0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84"/>
  <sheetViews>
    <sheetView view="pageBreakPreview" zoomScaleSheetLayoutView="100" zoomScalePageLayoutView="0" workbookViewId="0" topLeftCell="A58">
      <selection activeCell="H1" sqref="H1:W16384"/>
    </sheetView>
  </sheetViews>
  <sheetFormatPr defaultColWidth="9.140625" defaultRowHeight="12.75"/>
  <cols>
    <col min="1" max="1" width="9.140625" style="13" customWidth="1"/>
    <col min="2" max="2" width="21.57421875" style="13" customWidth="1"/>
    <col min="3" max="3" width="31.7109375" style="13" customWidth="1"/>
    <col min="4" max="4" width="10.7109375" style="13" customWidth="1"/>
    <col min="5" max="5" width="13.57421875" style="13" customWidth="1"/>
    <col min="6" max="6" width="14.28125" style="13" customWidth="1"/>
    <col min="7" max="16384" width="9.140625" style="13" customWidth="1"/>
  </cols>
  <sheetData>
    <row r="1" spans="1:7" ht="12.75">
      <c r="A1" s="125"/>
      <c r="B1" s="125"/>
      <c r="C1" s="125"/>
      <c r="D1" s="125"/>
      <c r="E1" s="125"/>
      <c r="F1" s="125"/>
      <c r="G1" s="125"/>
    </row>
    <row r="2" spans="1:6" ht="69" customHeight="1">
      <c r="A2" s="125"/>
      <c r="B2" s="125"/>
      <c r="C2" s="125"/>
      <c r="D2" s="218" t="s">
        <v>300</v>
      </c>
      <c r="E2" s="218"/>
      <c r="F2" s="218"/>
    </row>
    <row r="3" spans="1:7" ht="12.75">
      <c r="A3" s="125"/>
      <c r="B3" s="125"/>
      <c r="C3" s="125"/>
      <c r="D3" s="125"/>
      <c r="E3" s="125"/>
      <c r="F3" s="125"/>
      <c r="G3" s="125"/>
    </row>
    <row r="4" spans="1:7" ht="12.75">
      <c r="A4" s="125"/>
      <c r="B4" s="125"/>
      <c r="C4" s="125"/>
      <c r="D4" s="125"/>
      <c r="E4" s="125"/>
      <c r="F4" s="125"/>
      <c r="G4" s="125"/>
    </row>
    <row r="5" spans="1:7" ht="15">
      <c r="A5" s="219" t="s">
        <v>301</v>
      </c>
      <c r="B5" s="219"/>
      <c r="C5" s="219"/>
      <c r="D5" s="219"/>
      <c r="E5" s="219"/>
      <c r="F5" s="219"/>
      <c r="G5" s="126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205" t="s">
        <v>385</v>
      </c>
      <c r="B7" s="205"/>
      <c r="C7" s="205"/>
      <c r="D7" s="205"/>
      <c r="E7" s="205"/>
      <c r="F7" s="205"/>
      <c r="G7" s="127"/>
    </row>
    <row r="8" spans="1:7" ht="12.75">
      <c r="A8" s="125"/>
      <c r="B8" s="125"/>
      <c r="C8" s="125"/>
      <c r="D8" s="125"/>
      <c r="E8" s="125"/>
      <c r="F8" s="125"/>
      <c r="G8" s="125"/>
    </row>
    <row r="9" spans="1:7" ht="12.75">
      <c r="A9" s="128" t="s">
        <v>121</v>
      </c>
      <c r="B9" s="129"/>
      <c r="C9" s="128" t="s">
        <v>299</v>
      </c>
      <c r="D9" s="129"/>
      <c r="E9" s="129"/>
      <c r="F9" s="129"/>
      <c r="G9" s="125"/>
    </row>
    <row r="10" spans="1:7" ht="12.75">
      <c r="A10" s="128" t="s">
        <v>289</v>
      </c>
      <c r="B10" s="129"/>
      <c r="C10" s="128" t="s">
        <v>382</v>
      </c>
      <c r="D10" s="129"/>
      <c r="E10" s="129"/>
      <c r="F10" s="129"/>
      <c r="G10" s="125"/>
    </row>
    <row r="11" spans="1:7" ht="12.75">
      <c r="A11" s="128" t="s">
        <v>290</v>
      </c>
      <c r="B11" s="129"/>
      <c r="C11" s="128" t="s">
        <v>291</v>
      </c>
      <c r="D11" s="128"/>
      <c r="E11" s="128"/>
      <c r="F11" s="128"/>
      <c r="G11" s="128"/>
    </row>
    <row r="12" spans="1:7" ht="12.75" customHeight="1">
      <c r="A12" s="130" t="s">
        <v>292</v>
      </c>
      <c r="B12" s="129"/>
      <c r="C12" s="131" t="s">
        <v>302</v>
      </c>
      <c r="D12" s="131"/>
      <c r="E12" s="131"/>
      <c r="F12" s="131"/>
      <c r="G12" s="131"/>
    </row>
    <row r="13" spans="1:7" ht="12.75">
      <c r="A13" s="128" t="s">
        <v>294</v>
      </c>
      <c r="B13" s="129"/>
      <c r="C13" s="128" t="s">
        <v>295</v>
      </c>
      <c r="D13" s="128"/>
      <c r="E13" s="128"/>
      <c r="F13" s="128"/>
      <c r="G13" s="132"/>
    </row>
    <row r="14" spans="1:7" ht="27" customHeight="1">
      <c r="A14" s="128" t="s">
        <v>20</v>
      </c>
      <c r="B14" s="129"/>
      <c r="C14" s="212" t="s">
        <v>296</v>
      </c>
      <c r="D14" s="212"/>
      <c r="E14" s="212"/>
      <c r="F14" s="212"/>
      <c r="G14" s="133"/>
    </row>
    <row r="15" spans="1:7" ht="12.75">
      <c r="A15" s="125"/>
      <c r="B15" s="125"/>
      <c r="G15" s="2"/>
    </row>
    <row r="16" spans="1:7" ht="12.75">
      <c r="A16" s="125"/>
      <c r="B16" s="125"/>
      <c r="C16" s="211" t="s">
        <v>297</v>
      </c>
      <c r="D16" s="211"/>
      <c r="E16" s="211"/>
      <c r="F16" s="211"/>
      <c r="G16" s="125"/>
    </row>
    <row r="17" spans="1:7" ht="24">
      <c r="A17" s="216" t="s">
        <v>303</v>
      </c>
      <c r="B17" s="216"/>
      <c r="C17" s="216"/>
      <c r="D17" s="134" t="s">
        <v>304</v>
      </c>
      <c r="E17" s="134" t="s">
        <v>116</v>
      </c>
      <c r="F17" s="134" t="s">
        <v>69</v>
      </c>
      <c r="G17" s="125"/>
    </row>
    <row r="18" spans="1:7" ht="12.75">
      <c r="A18" s="214" t="s">
        <v>305</v>
      </c>
      <c r="B18" s="214"/>
      <c r="C18" s="214"/>
      <c r="D18" s="135" t="s">
        <v>306</v>
      </c>
      <c r="E18" s="135" t="s">
        <v>307</v>
      </c>
      <c r="F18" s="135" t="s">
        <v>308</v>
      </c>
      <c r="G18" s="125"/>
    </row>
    <row r="19" spans="1:7" ht="12.75">
      <c r="A19" s="215" t="s">
        <v>309</v>
      </c>
      <c r="B19" s="215"/>
      <c r="C19" s="215"/>
      <c r="D19" s="215"/>
      <c r="E19" s="215"/>
      <c r="F19" s="215"/>
      <c r="G19" s="125"/>
    </row>
    <row r="20" spans="1:7" ht="12.75">
      <c r="A20" s="207" t="s">
        <v>191</v>
      </c>
      <c r="B20" s="207"/>
      <c r="C20" s="207"/>
      <c r="D20" s="136" t="s">
        <v>42</v>
      </c>
      <c r="E20" s="121">
        <f>E22+E27+E23</f>
        <v>295255.3</v>
      </c>
      <c r="F20" s="121">
        <f>F22+F27+F23</f>
        <v>556326.4</v>
      </c>
      <c r="G20" s="125"/>
    </row>
    <row r="21" spans="1:7" ht="12.75">
      <c r="A21" s="220" t="s">
        <v>68</v>
      </c>
      <c r="B21" s="221"/>
      <c r="C21" s="222"/>
      <c r="D21" s="137"/>
      <c r="E21" s="122"/>
      <c r="F21" s="122"/>
      <c r="G21" s="125"/>
    </row>
    <row r="22" spans="1:7" ht="12.75">
      <c r="A22" s="207" t="s">
        <v>310</v>
      </c>
      <c r="B22" s="208"/>
      <c r="C22" s="208"/>
      <c r="D22" s="138" t="s">
        <v>43</v>
      </c>
      <c r="E22" s="123">
        <v>287998.3</v>
      </c>
      <c r="F22" s="123">
        <f>556326.4-29264.3-7880.7</f>
        <v>519181.39999999997</v>
      </c>
      <c r="G22" s="125"/>
    </row>
    <row r="23" spans="1:7" ht="12.75">
      <c r="A23" s="207" t="s">
        <v>312</v>
      </c>
      <c r="B23" s="208"/>
      <c r="C23" s="208"/>
      <c r="D23" s="138" t="s">
        <v>70</v>
      </c>
      <c r="E23" s="123">
        <f>7467-210</f>
        <v>7257</v>
      </c>
      <c r="F23" s="123">
        <v>29264.3</v>
      </c>
      <c r="G23" s="125"/>
    </row>
    <row r="24" spans="1:7" ht="12.75">
      <c r="A24" s="207" t="s">
        <v>313</v>
      </c>
      <c r="B24" s="208"/>
      <c r="C24" s="208"/>
      <c r="D24" s="138" t="s">
        <v>71</v>
      </c>
      <c r="E24" s="123"/>
      <c r="F24" s="123"/>
      <c r="G24" s="125"/>
    </row>
    <row r="25" spans="1:7" ht="12.75">
      <c r="A25" s="207" t="s">
        <v>314</v>
      </c>
      <c r="B25" s="208"/>
      <c r="C25" s="208"/>
      <c r="D25" s="138" t="s">
        <v>72</v>
      </c>
      <c r="E25" s="123"/>
      <c r="F25" s="123"/>
      <c r="G25" s="125"/>
    </row>
    <row r="26" spans="1:7" ht="12.75">
      <c r="A26" s="207" t="s">
        <v>315</v>
      </c>
      <c r="B26" s="208"/>
      <c r="C26" s="208"/>
      <c r="D26" s="138" t="s">
        <v>73</v>
      </c>
      <c r="E26" s="123"/>
      <c r="F26" s="123"/>
      <c r="G26" s="125"/>
    </row>
    <row r="27" spans="1:7" ht="12.75">
      <c r="A27" s="207" t="s">
        <v>316</v>
      </c>
      <c r="B27" s="208"/>
      <c r="C27" s="208"/>
      <c r="D27" s="138" t="s">
        <v>74</v>
      </c>
      <c r="E27" s="123"/>
      <c r="F27" s="123">
        <f>3584+1295.5+3001.2</f>
        <v>7880.7</v>
      </c>
      <c r="G27" s="125"/>
    </row>
    <row r="28" spans="1:7" ht="12.75">
      <c r="A28" s="209" t="s">
        <v>317</v>
      </c>
      <c r="B28" s="209"/>
      <c r="C28" s="209"/>
      <c r="D28" s="139" t="s">
        <v>44</v>
      </c>
      <c r="E28" s="121">
        <f>SUM(E30:E36)</f>
        <v>354088.30000000005</v>
      </c>
      <c r="F28" s="121">
        <f>SUM(F30:F36)</f>
        <v>499942.30000000005</v>
      </c>
      <c r="G28" s="125"/>
    </row>
    <row r="29" spans="1:7" ht="12.75">
      <c r="A29" s="206" t="s">
        <v>68</v>
      </c>
      <c r="B29" s="206"/>
      <c r="C29" s="206"/>
      <c r="D29" s="138"/>
      <c r="E29" s="124"/>
      <c r="F29" s="124"/>
      <c r="G29" s="125"/>
    </row>
    <row r="30" spans="1:7" ht="12.75">
      <c r="A30" s="207" t="s">
        <v>318</v>
      </c>
      <c r="B30" s="208"/>
      <c r="C30" s="208"/>
      <c r="D30" s="138" t="s">
        <v>75</v>
      </c>
      <c r="E30" s="123">
        <v>102438</v>
      </c>
      <c r="F30" s="123">
        <f>509.4+31208.4+413.7+6648.2+28464.4+34478.5+2276.4+18440.2</f>
        <v>122439.2</v>
      </c>
      <c r="G30" s="125"/>
    </row>
    <row r="31" spans="1:7" ht="12.75">
      <c r="A31" s="207" t="s">
        <v>319</v>
      </c>
      <c r="B31" s="208"/>
      <c r="C31" s="208"/>
      <c r="D31" s="138" t="s">
        <v>76</v>
      </c>
      <c r="E31" s="123"/>
      <c r="F31" s="123"/>
      <c r="G31" s="125"/>
    </row>
    <row r="32" spans="1:7" ht="12.75">
      <c r="A32" s="207" t="s">
        <v>320</v>
      </c>
      <c r="B32" s="208"/>
      <c r="C32" s="208"/>
      <c r="D32" s="138" t="s">
        <v>77</v>
      </c>
      <c r="E32" s="123">
        <v>170755.4</v>
      </c>
      <c r="F32" s="123">
        <f>234722.1+7278.9+9797.1-13431.4</f>
        <v>238366.7</v>
      </c>
      <c r="G32" s="125"/>
    </row>
    <row r="33" spans="1:7" ht="12.75">
      <c r="A33" s="207" t="s">
        <v>321</v>
      </c>
      <c r="B33" s="208"/>
      <c r="C33" s="208"/>
      <c r="D33" s="140" t="s">
        <v>78</v>
      </c>
      <c r="E33" s="123"/>
      <c r="F33" s="123"/>
      <c r="G33" s="141" t="s">
        <v>5</v>
      </c>
    </row>
    <row r="34" spans="1:7" ht="12.75">
      <c r="A34" s="207" t="s">
        <v>322</v>
      </c>
      <c r="B34" s="208"/>
      <c r="C34" s="208"/>
      <c r="D34" s="138" t="s">
        <v>79</v>
      </c>
      <c r="E34" s="123"/>
      <c r="F34" s="123"/>
      <c r="G34" s="125"/>
    </row>
    <row r="35" spans="1:7" ht="12.75">
      <c r="A35" s="207" t="s">
        <v>323</v>
      </c>
      <c r="B35" s="208"/>
      <c r="C35" s="208"/>
      <c r="D35" s="138" t="s">
        <v>80</v>
      </c>
      <c r="E35" s="123">
        <v>10826.9</v>
      </c>
      <c r="F35" s="123">
        <v>29000.5</v>
      </c>
      <c r="G35" s="125"/>
    </row>
    <row r="36" spans="1:7" ht="12.75">
      <c r="A36" s="207" t="s">
        <v>324</v>
      </c>
      <c r="B36" s="208"/>
      <c r="C36" s="208"/>
      <c r="D36" s="138" t="s">
        <v>1</v>
      </c>
      <c r="E36" s="123">
        <v>70068</v>
      </c>
      <c r="F36" s="123">
        <f>16472+6521.4+2973.6+3194+8720+1053+86770.8-15197.2-371.7</f>
        <v>110135.90000000001</v>
      </c>
      <c r="G36" s="125"/>
    </row>
    <row r="37" spans="1:7" ht="24" customHeight="1">
      <c r="A37" s="209" t="s">
        <v>325</v>
      </c>
      <c r="B37" s="209"/>
      <c r="C37" s="209"/>
      <c r="D37" s="136" t="s">
        <v>45</v>
      </c>
      <c r="E37" s="121">
        <f>E20-E28</f>
        <v>-58833.00000000006</v>
      </c>
      <c r="F37" s="121">
        <f>F20-F28</f>
        <v>56384.09999999998</v>
      </c>
      <c r="G37" s="125"/>
    </row>
    <row r="38" spans="1:7" ht="12.75">
      <c r="A38" s="213" t="s">
        <v>326</v>
      </c>
      <c r="B38" s="213"/>
      <c r="C38" s="213"/>
      <c r="D38" s="213"/>
      <c r="E38" s="213"/>
      <c r="F38" s="213"/>
      <c r="G38" s="125"/>
    </row>
    <row r="39" spans="1:7" ht="12.75">
      <c r="A39" s="207" t="s">
        <v>327</v>
      </c>
      <c r="B39" s="207"/>
      <c r="C39" s="207"/>
      <c r="D39" s="136" t="s">
        <v>46</v>
      </c>
      <c r="E39" s="121"/>
      <c r="F39" s="121"/>
      <c r="G39" s="125"/>
    </row>
    <row r="40" spans="1:7" ht="12.75">
      <c r="A40" s="206" t="s">
        <v>68</v>
      </c>
      <c r="B40" s="206"/>
      <c r="C40" s="206"/>
      <c r="D40" s="138"/>
      <c r="E40" s="124"/>
      <c r="F40" s="124"/>
      <c r="G40" s="125"/>
    </row>
    <row r="41" spans="1:7" ht="12.75">
      <c r="A41" s="207" t="s">
        <v>328</v>
      </c>
      <c r="B41" s="208"/>
      <c r="C41" s="208"/>
      <c r="D41" s="140" t="s">
        <v>47</v>
      </c>
      <c r="E41" s="123"/>
      <c r="F41" s="123"/>
      <c r="G41" s="125"/>
    </row>
    <row r="42" spans="1:7" ht="12.75">
      <c r="A42" s="207" t="s">
        <v>329</v>
      </c>
      <c r="B42" s="208"/>
      <c r="C42" s="208"/>
      <c r="D42" s="140" t="s">
        <v>48</v>
      </c>
      <c r="E42" s="123"/>
      <c r="F42" s="123"/>
      <c r="G42" s="125"/>
    </row>
    <row r="43" spans="1:7" ht="12.75">
      <c r="A43" s="207" t="s">
        <v>330</v>
      </c>
      <c r="B43" s="208"/>
      <c r="C43" s="208"/>
      <c r="D43" s="138" t="s">
        <v>49</v>
      </c>
      <c r="E43" s="123"/>
      <c r="F43" s="123"/>
      <c r="G43" s="125"/>
    </row>
    <row r="44" spans="1:7" ht="12.75">
      <c r="A44" s="209" t="s">
        <v>331</v>
      </c>
      <c r="B44" s="209"/>
      <c r="C44" s="209"/>
      <c r="D44" s="138" t="s">
        <v>50</v>
      </c>
      <c r="E44" s="123"/>
      <c r="F44" s="123"/>
      <c r="G44" s="125"/>
    </row>
    <row r="45" spans="1:7" ht="12.75">
      <c r="A45" s="209" t="s">
        <v>332</v>
      </c>
      <c r="B45" s="210"/>
      <c r="C45" s="210"/>
      <c r="D45" s="138" t="s">
        <v>51</v>
      </c>
      <c r="E45" s="123"/>
      <c r="F45" s="123"/>
      <c r="G45" s="125"/>
    </row>
    <row r="46" spans="1:7" ht="12.75">
      <c r="A46" s="209" t="s">
        <v>333</v>
      </c>
      <c r="B46" s="209"/>
      <c r="C46" s="209"/>
      <c r="D46" s="138" t="s">
        <v>52</v>
      </c>
      <c r="E46" s="123"/>
      <c r="F46" s="123"/>
      <c r="G46" s="125"/>
    </row>
    <row r="47" spans="1:7" ht="12.75">
      <c r="A47" s="209" t="s">
        <v>334</v>
      </c>
      <c r="B47" s="209"/>
      <c r="C47" s="209"/>
      <c r="D47" s="138" t="s">
        <v>192</v>
      </c>
      <c r="E47" s="123"/>
      <c r="F47" s="123"/>
      <c r="G47" s="125"/>
    </row>
    <row r="48" spans="1:7" ht="12.75">
      <c r="A48" s="209" t="s">
        <v>335</v>
      </c>
      <c r="B48" s="209"/>
      <c r="C48" s="209"/>
      <c r="D48" s="138" t="s">
        <v>193</v>
      </c>
      <c r="E48" s="123"/>
      <c r="F48" s="123"/>
      <c r="G48" s="125"/>
    </row>
    <row r="49" spans="1:7" ht="12.75">
      <c r="A49" s="209" t="s">
        <v>336</v>
      </c>
      <c r="B49" s="209"/>
      <c r="C49" s="209"/>
      <c r="D49" s="138" t="s">
        <v>194</v>
      </c>
      <c r="E49" s="123"/>
      <c r="F49" s="123"/>
      <c r="G49" s="125"/>
    </row>
    <row r="50" spans="1:7" ht="12.75">
      <c r="A50" s="209" t="s">
        <v>315</v>
      </c>
      <c r="B50" s="210"/>
      <c r="C50" s="210"/>
      <c r="D50" s="138" t="s">
        <v>53</v>
      </c>
      <c r="E50" s="123"/>
      <c r="F50" s="123"/>
      <c r="G50" s="125"/>
    </row>
    <row r="51" spans="1:7" ht="12.75">
      <c r="A51" s="207" t="s">
        <v>316</v>
      </c>
      <c r="B51" s="208"/>
      <c r="C51" s="208"/>
      <c r="D51" s="138" t="s">
        <v>81</v>
      </c>
      <c r="E51" s="123"/>
      <c r="F51" s="123"/>
      <c r="G51" s="125"/>
    </row>
    <row r="52" spans="1:7" ht="12.75">
      <c r="A52" s="207" t="s">
        <v>201</v>
      </c>
      <c r="B52" s="207"/>
      <c r="C52" s="207"/>
      <c r="D52" s="136" t="s">
        <v>54</v>
      </c>
      <c r="E52" s="121">
        <f>E54</f>
        <v>0</v>
      </c>
      <c r="F52" s="121">
        <f>F54</f>
        <v>15167.699999999999</v>
      </c>
      <c r="G52" s="125"/>
    </row>
    <row r="53" spans="1:7" ht="12.75">
      <c r="A53" s="206" t="s">
        <v>68</v>
      </c>
      <c r="B53" s="206"/>
      <c r="C53" s="206"/>
      <c r="D53" s="138"/>
      <c r="E53" s="124"/>
      <c r="F53" s="124"/>
      <c r="G53" s="125"/>
    </row>
    <row r="54" spans="1:7" ht="12.75">
      <c r="A54" s="207" t="s">
        <v>337</v>
      </c>
      <c r="B54" s="208"/>
      <c r="C54" s="208"/>
      <c r="D54" s="138" t="s">
        <v>195</v>
      </c>
      <c r="E54" s="123"/>
      <c r="F54" s="123">
        <f>2620.8+12392+154.9</f>
        <v>15167.699999999999</v>
      </c>
      <c r="G54" s="125"/>
    </row>
    <row r="55" spans="1:7" ht="12.75">
      <c r="A55" s="207" t="s">
        <v>338</v>
      </c>
      <c r="B55" s="208"/>
      <c r="C55" s="208"/>
      <c r="D55" s="138" t="s">
        <v>196</v>
      </c>
      <c r="E55" s="123"/>
      <c r="F55" s="123"/>
      <c r="G55" s="125"/>
    </row>
    <row r="56" spans="1:7" ht="12.75">
      <c r="A56" s="204" t="s">
        <v>339</v>
      </c>
      <c r="B56" s="204"/>
      <c r="C56" s="204"/>
      <c r="D56" s="138" t="s">
        <v>197</v>
      </c>
      <c r="E56" s="123"/>
      <c r="F56" s="123"/>
      <c r="G56" s="125"/>
    </row>
    <row r="57" spans="1:7" ht="12.75">
      <c r="A57" s="217" t="s">
        <v>340</v>
      </c>
      <c r="B57" s="217"/>
      <c r="C57" s="217"/>
      <c r="D57" s="138" t="s">
        <v>198</v>
      </c>
      <c r="E57" s="123"/>
      <c r="F57" s="123"/>
      <c r="G57" s="125"/>
    </row>
    <row r="58" spans="1:7" ht="12.75">
      <c r="A58" s="204" t="s">
        <v>341</v>
      </c>
      <c r="B58" s="204"/>
      <c r="C58" s="204"/>
      <c r="D58" s="138" t="s">
        <v>199</v>
      </c>
      <c r="E58" s="123"/>
      <c r="F58" s="123"/>
      <c r="G58" s="125"/>
    </row>
    <row r="59" spans="1:7" ht="12.75">
      <c r="A59" s="204" t="s">
        <v>342</v>
      </c>
      <c r="B59" s="204"/>
      <c r="C59" s="204"/>
      <c r="D59" s="138" t="s">
        <v>200</v>
      </c>
      <c r="E59" s="123"/>
      <c r="F59" s="123"/>
      <c r="G59" s="125"/>
    </row>
    <row r="60" spans="1:7" ht="12.75">
      <c r="A60" s="204" t="s">
        <v>343</v>
      </c>
      <c r="B60" s="204"/>
      <c r="C60" s="204"/>
      <c r="D60" s="138" t="s">
        <v>84</v>
      </c>
      <c r="E60" s="123"/>
      <c r="F60" s="123"/>
      <c r="G60" s="125"/>
    </row>
    <row r="61" spans="1:7" ht="12.75">
      <c r="A61" s="204" t="s">
        <v>344</v>
      </c>
      <c r="B61" s="204"/>
      <c r="C61" s="204"/>
      <c r="D61" s="138" t="s">
        <v>202</v>
      </c>
      <c r="E61" s="123"/>
      <c r="F61" s="123"/>
      <c r="G61" s="125"/>
    </row>
    <row r="62" spans="1:7" ht="12.75">
      <c r="A62" s="207" t="s">
        <v>335</v>
      </c>
      <c r="B62" s="208"/>
      <c r="C62" s="208"/>
      <c r="D62" s="138" t="s">
        <v>203</v>
      </c>
      <c r="E62" s="123"/>
      <c r="F62" s="123"/>
      <c r="G62" s="125"/>
    </row>
    <row r="63" spans="1:7" ht="12.75">
      <c r="A63" s="207" t="s">
        <v>345</v>
      </c>
      <c r="B63" s="208"/>
      <c r="C63" s="208"/>
      <c r="D63" s="138" t="s">
        <v>55</v>
      </c>
      <c r="E63" s="123"/>
      <c r="F63" s="123"/>
      <c r="G63" s="125"/>
    </row>
    <row r="64" spans="1:7" ht="12.75">
      <c r="A64" s="209" t="s">
        <v>324</v>
      </c>
      <c r="B64" s="210"/>
      <c r="C64" s="210"/>
      <c r="D64" s="138" t="s">
        <v>56</v>
      </c>
      <c r="E64" s="123"/>
      <c r="F64" s="123"/>
      <c r="G64" s="125"/>
    </row>
    <row r="65" spans="1:7" ht="12.75">
      <c r="A65" s="209" t="s">
        <v>346</v>
      </c>
      <c r="B65" s="209"/>
      <c r="C65" s="209"/>
      <c r="D65" s="136" t="s">
        <v>57</v>
      </c>
      <c r="E65" s="121">
        <f>E39-E52</f>
        <v>0</v>
      </c>
      <c r="F65" s="121">
        <f>F39-F52</f>
        <v>-15167.699999999999</v>
      </c>
      <c r="G65" s="125"/>
    </row>
    <row r="66" spans="1:7" ht="12.75" customHeight="1">
      <c r="A66" s="213" t="s">
        <v>347</v>
      </c>
      <c r="B66" s="213"/>
      <c r="C66" s="213"/>
      <c r="D66" s="213"/>
      <c r="E66" s="213"/>
      <c r="F66" s="213"/>
      <c r="G66" s="125"/>
    </row>
    <row r="67" spans="1:7" ht="12.75">
      <c r="A67" s="207" t="s">
        <v>348</v>
      </c>
      <c r="B67" s="207"/>
      <c r="C67" s="207"/>
      <c r="D67" s="136" t="s">
        <v>58</v>
      </c>
      <c r="E67" s="121">
        <v>0</v>
      </c>
      <c r="F67" s="121">
        <v>0</v>
      </c>
      <c r="G67" s="125"/>
    </row>
    <row r="68" spans="1:7" ht="12.75">
      <c r="A68" s="206" t="s">
        <v>68</v>
      </c>
      <c r="B68" s="206"/>
      <c r="C68" s="206"/>
      <c r="D68" s="138"/>
      <c r="E68" s="124"/>
      <c r="F68" s="124"/>
      <c r="G68" s="141" t="s">
        <v>5</v>
      </c>
    </row>
    <row r="69" spans="1:7" ht="12.75">
      <c r="A69" s="207" t="s">
        <v>349</v>
      </c>
      <c r="B69" s="208"/>
      <c r="C69" s="208"/>
      <c r="D69" s="138" t="s">
        <v>204</v>
      </c>
      <c r="E69" s="123"/>
      <c r="F69" s="123"/>
      <c r="G69" s="125"/>
    </row>
    <row r="70" spans="1:7" ht="12.75">
      <c r="A70" s="207" t="s">
        <v>350</v>
      </c>
      <c r="B70" s="208"/>
      <c r="C70" s="208"/>
      <c r="D70" s="138" t="s">
        <v>205</v>
      </c>
      <c r="E70" s="123"/>
      <c r="F70" s="123"/>
      <c r="G70" s="125"/>
    </row>
    <row r="71" spans="1:7" ht="12.75">
      <c r="A71" s="207" t="s">
        <v>351</v>
      </c>
      <c r="B71" s="208"/>
      <c r="C71" s="208"/>
      <c r="D71" s="138" t="s">
        <v>206</v>
      </c>
      <c r="E71" s="123"/>
      <c r="F71" s="123"/>
      <c r="G71" s="125"/>
    </row>
    <row r="72" spans="1:7" ht="12.75">
      <c r="A72" s="207" t="s">
        <v>316</v>
      </c>
      <c r="B72" s="208"/>
      <c r="C72" s="208"/>
      <c r="D72" s="140" t="s">
        <v>207</v>
      </c>
      <c r="E72" s="123"/>
      <c r="F72" s="123"/>
      <c r="G72" s="125"/>
    </row>
    <row r="73" spans="1:7" ht="12.75">
      <c r="A73" s="207" t="s">
        <v>352</v>
      </c>
      <c r="B73" s="207"/>
      <c r="C73" s="207"/>
      <c r="D73" s="136" t="s">
        <v>59</v>
      </c>
      <c r="E73" s="121"/>
      <c r="F73" s="121"/>
      <c r="G73" s="125"/>
    </row>
    <row r="74" spans="1:7" ht="12.75">
      <c r="A74" s="206" t="s">
        <v>68</v>
      </c>
      <c r="B74" s="206"/>
      <c r="C74" s="206"/>
      <c r="D74" s="138"/>
      <c r="E74" s="124"/>
      <c r="F74" s="124"/>
      <c r="G74" s="125"/>
    </row>
    <row r="75" spans="1:7" ht="12.75">
      <c r="A75" s="207" t="s">
        <v>353</v>
      </c>
      <c r="B75" s="207"/>
      <c r="C75" s="207"/>
      <c r="D75" s="138" t="s">
        <v>60</v>
      </c>
      <c r="E75" s="123"/>
      <c r="F75" s="123"/>
      <c r="G75" s="125"/>
    </row>
    <row r="76" spans="1:7" ht="12.75">
      <c r="A76" s="207" t="s">
        <v>354</v>
      </c>
      <c r="B76" s="207"/>
      <c r="C76" s="207"/>
      <c r="D76" s="138" t="s">
        <v>208</v>
      </c>
      <c r="E76" s="123"/>
      <c r="F76" s="123"/>
      <c r="G76" s="125"/>
    </row>
    <row r="77" spans="1:7" ht="12.75">
      <c r="A77" s="207" t="s">
        <v>355</v>
      </c>
      <c r="B77" s="208"/>
      <c r="C77" s="208"/>
      <c r="D77" s="138" t="s">
        <v>209</v>
      </c>
      <c r="E77" s="123"/>
      <c r="F77" s="123"/>
      <c r="G77" s="141" t="s">
        <v>5</v>
      </c>
    </row>
    <row r="78" spans="1:7" ht="12.75">
      <c r="A78" s="207" t="s">
        <v>356</v>
      </c>
      <c r="B78" s="208"/>
      <c r="C78" s="208"/>
      <c r="D78" s="138" t="s">
        <v>210</v>
      </c>
      <c r="E78" s="123"/>
      <c r="F78" s="123"/>
      <c r="G78" s="125"/>
    </row>
    <row r="79" spans="1:7" ht="12.75">
      <c r="A79" s="207" t="s">
        <v>357</v>
      </c>
      <c r="B79" s="207"/>
      <c r="C79" s="207"/>
      <c r="D79" s="138" t="s">
        <v>211</v>
      </c>
      <c r="E79" s="123"/>
      <c r="F79" s="123"/>
      <c r="G79" s="125"/>
    </row>
    <row r="80" spans="1:7" ht="12.75">
      <c r="A80" s="209" t="s">
        <v>358</v>
      </c>
      <c r="B80" s="209"/>
      <c r="C80" s="209"/>
      <c r="D80" s="136" t="s">
        <v>61</v>
      </c>
      <c r="E80" s="121">
        <v>0</v>
      </c>
      <c r="F80" s="121">
        <v>0</v>
      </c>
      <c r="G80" s="125"/>
    </row>
    <row r="81" spans="1:7" ht="12.75" customHeight="1">
      <c r="A81" s="209" t="s">
        <v>212</v>
      </c>
      <c r="B81" s="209"/>
      <c r="C81" s="209"/>
      <c r="D81" s="136" t="s">
        <v>62</v>
      </c>
      <c r="E81" s="121" t="s">
        <v>311</v>
      </c>
      <c r="F81" s="121" t="s">
        <v>311</v>
      </c>
      <c r="G81" s="125"/>
    </row>
    <row r="82" spans="1:7" ht="23.25" customHeight="1">
      <c r="A82" s="209" t="s">
        <v>359</v>
      </c>
      <c r="B82" s="209"/>
      <c r="C82" s="209"/>
      <c r="D82" s="136" t="s">
        <v>63</v>
      </c>
      <c r="E82" s="121">
        <f>E20-E28-E52</f>
        <v>-58833.00000000006</v>
      </c>
      <c r="F82" s="121">
        <f>F20-F28-F52</f>
        <v>41216.39999999998</v>
      </c>
      <c r="G82" s="125"/>
    </row>
    <row r="83" spans="1:7" ht="12.75" customHeight="1">
      <c r="A83" s="209" t="s">
        <v>213</v>
      </c>
      <c r="B83" s="209"/>
      <c r="C83" s="209"/>
      <c r="D83" s="136" t="s">
        <v>64</v>
      </c>
      <c r="E83" s="121">
        <v>58883.2</v>
      </c>
      <c r="F83" s="121">
        <v>17666.8</v>
      </c>
      <c r="G83" s="125"/>
    </row>
    <row r="84" spans="1:7" ht="12.75" customHeight="1">
      <c r="A84" s="209" t="s">
        <v>214</v>
      </c>
      <c r="B84" s="210"/>
      <c r="C84" s="210"/>
      <c r="D84" s="136" t="s">
        <v>65</v>
      </c>
      <c r="E84" s="121">
        <f>E82+E83</f>
        <v>50.19999999993888</v>
      </c>
      <c r="F84" s="121">
        <f>F82+F83</f>
        <v>58883.19999999998</v>
      </c>
      <c r="G84" s="125"/>
    </row>
  </sheetData>
  <sheetProtection/>
  <mergeCells count="73">
    <mergeCell ref="D2:F2"/>
    <mergeCell ref="A5:F5"/>
    <mergeCell ref="A21:C21"/>
    <mergeCell ref="A80:C80"/>
    <mergeCell ref="A81:C81"/>
    <mergeCell ref="A82:C82"/>
    <mergeCell ref="A61:C61"/>
    <mergeCell ref="A62:C62"/>
    <mergeCell ref="A63:C63"/>
    <mergeCell ref="A64:C64"/>
    <mergeCell ref="A84:C84"/>
    <mergeCell ref="A70:C70"/>
    <mergeCell ref="A71:C71"/>
    <mergeCell ref="A72:C72"/>
    <mergeCell ref="A73:C73"/>
    <mergeCell ref="A74:C74"/>
    <mergeCell ref="A75:C75"/>
    <mergeCell ref="A79:C79"/>
    <mergeCell ref="A78:C78"/>
    <mergeCell ref="A66:F66"/>
    <mergeCell ref="A67:C67"/>
    <mergeCell ref="A68:C68"/>
    <mergeCell ref="A69:C69"/>
    <mergeCell ref="A83:C83"/>
    <mergeCell ref="A58:C58"/>
    <mergeCell ref="A59:C59"/>
    <mergeCell ref="A65:C65"/>
    <mergeCell ref="A76:C76"/>
    <mergeCell ref="A77:C77"/>
    <mergeCell ref="A54:C54"/>
    <mergeCell ref="A55:C55"/>
    <mergeCell ref="A56:C56"/>
    <mergeCell ref="A57:C57"/>
    <mergeCell ref="A52:C52"/>
    <mergeCell ref="A53:C53"/>
    <mergeCell ref="A44:C44"/>
    <mergeCell ref="A45:C45"/>
    <mergeCell ref="A46:C46"/>
    <mergeCell ref="A47:C47"/>
    <mergeCell ref="A48:C48"/>
    <mergeCell ref="A49:C49"/>
    <mergeCell ref="A30:C30"/>
    <mergeCell ref="A31:C31"/>
    <mergeCell ref="A32:C32"/>
    <mergeCell ref="A33:C33"/>
    <mergeCell ref="A34:C34"/>
    <mergeCell ref="A35:C35"/>
    <mergeCell ref="A17:C17"/>
    <mergeCell ref="A24:C24"/>
    <mergeCell ref="A25:C25"/>
    <mergeCell ref="A26:C26"/>
    <mergeCell ref="A27:C27"/>
    <mergeCell ref="A28:C28"/>
    <mergeCell ref="A36:C36"/>
    <mergeCell ref="A37:C37"/>
    <mergeCell ref="A38:F38"/>
    <mergeCell ref="A39:C39"/>
    <mergeCell ref="A18:C18"/>
    <mergeCell ref="A19:F19"/>
    <mergeCell ref="A20:C20"/>
    <mergeCell ref="A22:C22"/>
    <mergeCell ref="A23:C23"/>
    <mergeCell ref="A29:C29"/>
    <mergeCell ref="A60:C60"/>
    <mergeCell ref="A7:F7"/>
    <mergeCell ref="A40:C40"/>
    <mergeCell ref="A41:C41"/>
    <mergeCell ref="A42:C42"/>
    <mergeCell ref="A43:C43"/>
    <mergeCell ref="A50:C50"/>
    <mergeCell ref="A51:C51"/>
    <mergeCell ref="C16:F16"/>
    <mergeCell ref="C14:F14"/>
  </mergeCells>
  <printOptions/>
  <pageMargins left="1.0236220472440944" right="0" top="0.3937007874015748" bottom="0.3937007874015748" header="0.5118110236220472" footer="0.5118110236220472"/>
  <pageSetup fitToHeight="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view="pageBreakPreview" zoomScaleSheetLayoutView="100" zoomScalePageLayoutView="0" workbookViewId="0" topLeftCell="A46">
      <selection activeCell="I46" sqref="I46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</cols>
  <sheetData>
    <row r="1" spans="1:5" ht="17.25" customHeight="1">
      <c r="A1" s="225" t="s">
        <v>266</v>
      </c>
      <c r="B1" s="225"/>
      <c r="C1" s="225"/>
      <c r="D1" s="225"/>
      <c r="E1" s="225"/>
    </row>
    <row r="2" spans="1:5" ht="17.25" customHeight="1">
      <c r="A2" s="226" t="s">
        <v>280</v>
      </c>
      <c r="B2" s="226"/>
      <c r="C2" s="226"/>
      <c r="D2" s="226"/>
      <c r="E2" s="226"/>
    </row>
    <row r="3" ht="15.75">
      <c r="A3" s="34"/>
    </row>
    <row r="4" spans="1:8" s="13" customFormat="1" ht="24.75" customHeight="1">
      <c r="A4" s="26" t="s">
        <v>237</v>
      </c>
      <c r="B4" s="27" t="s">
        <v>238</v>
      </c>
      <c r="C4" s="26"/>
      <c r="D4" s="26"/>
      <c r="E4" s="28"/>
      <c r="F4" s="26"/>
      <c r="G4" s="35"/>
      <c r="H4" s="29"/>
    </row>
    <row r="5" spans="1:8" s="13" customFormat="1" ht="24.75" customHeight="1">
      <c r="A5" s="26" t="s">
        <v>245</v>
      </c>
      <c r="B5" s="227" t="s">
        <v>120</v>
      </c>
      <c r="C5" s="227"/>
      <c r="D5" s="227"/>
      <c r="E5" s="227"/>
      <c r="F5" s="39"/>
      <c r="G5" s="25"/>
      <c r="H5" s="31"/>
    </row>
    <row r="6" spans="1:8" s="13" customFormat="1" ht="24.75" customHeight="1">
      <c r="A6" s="26" t="s">
        <v>241</v>
      </c>
      <c r="B6" s="228" t="s">
        <v>242</v>
      </c>
      <c r="C6" s="228"/>
      <c r="D6" s="228"/>
      <c r="E6" s="228"/>
      <c r="F6" s="27"/>
      <c r="G6" s="23"/>
      <c r="H6" s="32"/>
    </row>
    <row r="7" spans="1:8" s="13" customFormat="1" ht="24.75" customHeight="1">
      <c r="A7" s="26" t="s">
        <v>239</v>
      </c>
      <c r="B7" s="227" t="s">
        <v>240</v>
      </c>
      <c r="C7" s="227"/>
      <c r="D7" s="227"/>
      <c r="E7" s="227"/>
      <c r="F7" s="39"/>
      <c r="G7" s="23"/>
      <c r="H7" s="32"/>
    </row>
    <row r="8" spans="1:8" s="13" customFormat="1" ht="24.75" customHeight="1">
      <c r="A8" s="26" t="s">
        <v>244</v>
      </c>
      <c r="B8" s="27" t="s">
        <v>385</v>
      </c>
      <c r="C8" s="26"/>
      <c r="D8" s="26"/>
      <c r="E8" s="28"/>
      <c r="F8" s="26"/>
      <c r="G8" s="26"/>
      <c r="H8" s="25"/>
    </row>
    <row r="9" spans="1:8" s="13" customFormat="1" ht="24.75" customHeight="1">
      <c r="A9" s="26" t="s">
        <v>284</v>
      </c>
      <c r="B9" s="27" t="s">
        <v>285</v>
      </c>
      <c r="C9" s="26"/>
      <c r="D9" s="26"/>
      <c r="E9" s="28"/>
      <c r="F9" s="26"/>
      <c r="G9" s="26"/>
      <c r="H9" s="25"/>
    </row>
    <row r="10" spans="1:8" s="13" customFormat="1" ht="24.75" customHeight="1">
      <c r="A10" s="26" t="s">
        <v>243</v>
      </c>
      <c r="B10" s="27" t="s">
        <v>230</v>
      </c>
      <c r="C10" s="26"/>
      <c r="D10" s="26"/>
      <c r="E10" s="28"/>
      <c r="F10" s="26"/>
      <c r="G10" s="26"/>
      <c r="H10" s="25"/>
    </row>
    <row r="11" spans="1:5" s="40" customFormat="1" ht="22.5" customHeight="1">
      <c r="A11" s="224" t="s">
        <v>251</v>
      </c>
      <c r="B11" s="224" t="s">
        <v>252</v>
      </c>
      <c r="C11" s="224" t="s">
        <v>268</v>
      </c>
      <c r="D11" s="223" t="s">
        <v>267</v>
      </c>
      <c r="E11" s="224" t="s">
        <v>253</v>
      </c>
    </row>
    <row r="12" spans="1:5" s="40" customFormat="1" ht="23.25" customHeight="1">
      <c r="A12" s="224"/>
      <c r="B12" s="224"/>
      <c r="C12" s="224"/>
      <c r="D12" s="223"/>
      <c r="E12" s="224"/>
    </row>
    <row r="13" spans="1:5" ht="13.5" customHeight="1">
      <c r="A13" s="36">
        <v>1</v>
      </c>
      <c r="B13" s="37">
        <v>2</v>
      </c>
      <c r="C13" s="36">
        <v>3</v>
      </c>
      <c r="D13" s="36">
        <v>4</v>
      </c>
      <c r="E13" s="36">
        <v>5</v>
      </c>
    </row>
    <row r="14" spans="1:5" ht="25.5" customHeight="1">
      <c r="A14" s="51" t="s">
        <v>282</v>
      </c>
      <c r="B14" s="52" t="s">
        <v>283</v>
      </c>
      <c r="C14" s="94">
        <v>41098.7</v>
      </c>
      <c r="D14" s="94">
        <f>C14</f>
        <v>41098.7</v>
      </c>
      <c r="E14" s="54">
        <f aca="true" t="shared" si="0" ref="E14:E21">C14-D14</f>
        <v>0</v>
      </c>
    </row>
    <row r="15" spans="1:5" ht="15" customHeight="1">
      <c r="A15" s="38" t="s">
        <v>281</v>
      </c>
      <c r="B15" s="42" t="s">
        <v>42</v>
      </c>
      <c r="C15" s="93">
        <f>198982+20075.6+2040</f>
        <v>221097.6</v>
      </c>
      <c r="D15" s="93">
        <f>C15</f>
        <v>221097.6</v>
      </c>
      <c r="E15" s="54">
        <f t="shared" si="0"/>
        <v>0</v>
      </c>
    </row>
    <row r="16" spans="1:5" ht="13.5" customHeight="1">
      <c r="A16" s="38" t="s">
        <v>269</v>
      </c>
      <c r="B16" s="42" t="s">
        <v>44</v>
      </c>
      <c r="C16" s="93">
        <f>C17+C29</f>
        <v>221097.6</v>
      </c>
      <c r="D16" s="93">
        <f>D17+D29</f>
        <v>262196.19999999995</v>
      </c>
      <c r="E16" s="54">
        <f t="shared" si="0"/>
        <v>-41098.59999999995</v>
      </c>
    </row>
    <row r="17" spans="1:6" ht="40.5" customHeight="1">
      <c r="A17" s="41" t="s">
        <v>270</v>
      </c>
      <c r="B17" s="42"/>
      <c r="C17" s="94">
        <f>SUM(C18:C28)</f>
        <v>183045.6</v>
      </c>
      <c r="D17" s="94">
        <f>SUM(D18:D28)</f>
        <v>193375.59999999998</v>
      </c>
      <c r="E17" s="54">
        <f t="shared" si="0"/>
        <v>-10329.99999999997</v>
      </c>
      <c r="F17" s="95"/>
    </row>
    <row r="18" spans="1:5" ht="13.5" customHeight="1">
      <c r="A18" s="38" t="s">
        <v>234</v>
      </c>
      <c r="B18" s="42" t="s">
        <v>45</v>
      </c>
      <c r="C18" s="93">
        <f>114330+16295+2061</f>
        <v>132686</v>
      </c>
      <c r="D18" s="93">
        <f>139055.9+8487.3</f>
        <v>147543.19999999998</v>
      </c>
      <c r="E18" s="53">
        <f t="shared" si="0"/>
        <v>-14857.199999999983</v>
      </c>
    </row>
    <row r="19" spans="1:5" ht="14.25" customHeight="1">
      <c r="A19" s="38" t="s">
        <v>29</v>
      </c>
      <c r="B19" s="42" t="s">
        <v>46</v>
      </c>
      <c r="C19" s="93"/>
      <c r="D19" s="93"/>
      <c r="E19" s="53">
        <f t="shared" si="0"/>
        <v>0</v>
      </c>
    </row>
    <row r="20" spans="1:5" ht="12.75" customHeight="1">
      <c r="A20" s="38" t="s">
        <v>254</v>
      </c>
      <c r="B20" s="42" t="s">
        <v>53</v>
      </c>
      <c r="C20" s="93">
        <f>930</f>
        <v>930</v>
      </c>
      <c r="D20" s="93">
        <v>581.6</v>
      </c>
      <c r="E20" s="53">
        <f t="shared" si="0"/>
        <v>348.4</v>
      </c>
    </row>
    <row r="21" spans="1:7" ht="26.25" customHeight="1">
      <c r="A21" s="38" t="s">
        <v>255</v>
      </c>
      <c r="B21" s="42" t="s">
        <v>54</v>
      </c>
      <c r="C21" s="93">
        <f>4103+2625+514+326.2</f>
        <v>7568.2</v>
      </c>
      <c r="D21" s="93">
        <f>3569.6+2209.7</f>
        <v>5779.299999999999</v>
      </c>
      <c r="E21" s="53">
        <f t="shared" si="0"/>
        <v>1788.9000000000005</v>
      </c>
      <c r="G21" s="95"/>
    </row>
    <row r="22" spans="1:5" ht="12" customHeight="1">
      <c r="A22" s="38" t="s">
        <v>271</v>
      </c>
      <c r="B22" s="42" t="s">
        <v>55</v>
      </c>
      <c r="C22" s="93"/>
      <c r="D22" s="93"/>
      <c r="E22" s="53"/>
    </row>
    <row r="23" spans="1:7" ht="12" customHeight="1">
      <c r="A23" s="38" t="s">
        <v>272</v>
      </c>
      <c r="B23" s="42">
        <v>80</v>
      </c>
      <c r="C23" s="93"/>
      <c r="D23" s="93"/>
      <c r="E23" s="53"/>
      <c r="G23" s="95"/>
    </row>
    <row r="24" spans="1:5" ht="13.5" customHeight="1">
      <c r="A24" s="38" t="s">
        <v>256</v>
      </c>
      <c r="B24" s="42" t="s">
        <v>58</v>
      </c>
      <c r="C24" s="93"/>
      <c r="D24" s="93"/>
      <c r="E24" s="53"/>
    </row>
    <row r="25" spans="1:7" ht="12" customHeight="1">
      <c r="A25" s="38" t="s">
        <v>273</v>
      </c>
      <c r="B25" s="42">
        <v>100</v>
      </c>
      <c r="C25" s="93">
        <f>6957+879.4</f>
        <v>7836.4</v>
      </c>
      <c r="D25" s="93">
        <v>5741.6</v>
      </c>
      <c r="E25" s="53">
        <f>C25-D25</f>
        <v>2094.7999999999993</v>
      </c>
      <c r="G25" s="95"/>
    </row>
    <row r="26" spans="1:7" ht="13.5" customHeight="1">
      <c r="A26" s="38" t="s">
        <v>274</v>
      </c>
      <c r="B26" s="36">
        <v>110</v>
      </c>
      <c r="C26" s="93"/>
      <c r="D26" s="93"/>
      <c r="E26" s="53"/>
      <c r="G26" s="95"/>
    </row>
    <row r="27" spans="1:5" ht="15" customHeight="1">
      <c r="A27" s="38" t="s">
        <v>275</v>
      </c>
      <c r="B27" s="36">
        <v>120</v>
      </c>
      <c r="C27" s="93"/>
      <c r="D27" s="93"/>
      <c r="E27" s="53"/>
    </row>
    <row r="28" spans="1:5" ht="14.25" customHeight="1">
      <c r="A28" s="38" t="s">
        <v>276</v>
      </c>
      <c r="B28" s="36">
        <v>130</v>
      </c>
      <c r="C28" s="93">
        <f>4339+796+26850+2040</f>
        <v>34025</v>
      </c>
      <c r="D28" s="93">
        <f>4396+796+28537.9</f>
        <v>33729.9</v>
      </c>
      <c r="E28" s="53">
        <f>C28-D28</f>
        <v>295.09999999999854</v>
      </c>
    </row>
    <row r="29" spans="1:6" ht="38.25" customHeight="1">
      <c r="A29" s="41" t="s">
        <v>277</v>
      </c>
      <c r="B29" s="36"/>
      <c r="C29" s="94">
        <f>SUM(C30:C41)</f>
        <v>38052</v>
      </c>
      <c r="D29" s="94">
        <f>SUM(D30:D41)</f>
        <v>68820.6</v>
      </c>
      <c r="E29" s="54">
        <f>C29-D29</f>
        <v>-30768.600000000006</v>
      </c>
      <c r="F29" s="33"/>
    </row>
    <row r="30" spans="1:5" ht="15" customHeight="1">
      <c r="A30" s="38" t="s">
        <v>257</v>
      </c>
      <c r="B30" s="36">
        <v>140</v>
      </c>
      <c r="C30" s="93">
        <f>10121+300+6000</f>
        <v>16421</v>
      </c>
      <c r="D30" s="93">
        <f>12693.6+375.4+13869.6</f>
        <v>26938.6</v>
      </c>
      <c r="E30" s="53">
        <f>C30-D30</f>
        <v>-10517.599999999999</v>
      </c>
    </row>
    <row r="31" spans="1:12" ht="15.75" customHeight="1">
      <c r="A31" s="38" t="s">
        <v>236</v>
      </c>
      <c r="B31" s="36">
        <v>150</v>
      </c>
      <c r="C31" s="93"/>
      <c r="D31" s="93"/>
      <c r="E31" s="53">
        <f>C31-D31</f>
        <v>0</v>
      </c>
      <c r="L31" s="95"/>
    </row>
    <row r="32" spans="1:5" ht="14.25" customHeight="1">
      <c r="A32" s="38" t="s">
        <v>258</v>
      </c>
      <c r="B32" s="36">
        <v>160</v>
      </c>
      <c r="C32" s="93"/>
      <c r="D32" s="93"/>
      <c r="E32" s="53">
        <f aca="true" t="shared" si="1" ref="E32:E39">C32-D32</f>
        <v>0</v>
      </c>
    </row>
    <row r="33" spans="1:5" ht="15" customHeight="1">
      <c r="A33" s="38" t="s">
        <v>235</v>
      </c>
      <c r="B33" s="36">
        <v>170</v>
      </c>
      <c r="C33" s="93">
        <v>16085</v>
      </c>
      <c r="D33" s="93">
        <v>12352.4</v>
      </c>
      <c r="E33" s="53">
        <f t="shared" si="1"/>
        <v>3732.6000000000004</v>
      </c>
    </row>
    <row r="34" spans="1:5" ht="14.25" customHeight="1">
      <c r="A34" s="38" t="s">
        <v>259</v>
      </c>
      <c r="B34" s="36">
        <v>180</v>
      </c>
      <c r="C34" s="93"/>
      <c r="D34" s="93"/>
      <c r="E34" s="53">
        <f t="shared" si="1"/>
        <v>0</v>
      </c>
    </row>
    <row r="35" spans="1:5" ht="13.5" customHeight="1">
      <c r="A35" s="38" t="s">
        <v>260</v>
      </c>
      <c r="B35" s="36">
        <v>190</v>
      </c>
      <c r="C35" s="93"/>
      <c r="D35" s="93"/>
      <c r="E35" s="53">
        <f t="shared" si="1"/>
        <v>0</v>
      </c>
    </row>
    <row r="36" spans="1:5" ht="15" customHeight="1">
      <c r="A36" s="38" t="s">
        <v>261</v>
      </c>
      <c r="B36" s="36">
        <v>200</v>
      </c>
      <c r="C36" s="93">
        <v>1266</v>
      </c>
      <c r="D36" s="93">
        <v>1116.5</v>
      </c>
      <c r="E36" s="53">
        <f t="shared" si="1"/>
        <v>149.5</v>
      </c>
    </row>
    <row r="37" spans="1:10" ht="13.5" customHeight="1">
      <c r="A37" s="38" t="s">
        <v>381</v>
      </c>
      <c r="B37" s="36">
        <v>210</v>
      </c>
      <c r="C37" s="93">
        <v>4220</v>
      </c>
      <c r="D37" s="93">
        <f>9991.3+18154.2</f>
        <v>28145.5</v>
      </c>
      <c r="E37" s="53">
        <f t="shared" si="1"/>
        <v>-23925.5</v>
      </c>
      <c r="J37" s="95"/>
    </row>
    <row r="38" spans="1:5" ht="14.25" customHeight="1">
      <c r="A38" s="38" t="s">
        <v>262</v>
      </c>
      <c r="B38" s="36">
        <v>220</v>
      </c>
      <c r="C38" s="93"/>
      <c r="D38" s="93"/>
      <c r="E38" s="53">
        <f t="shared" si="1"/>
        <v>0</v>
      </c>
    </row>
    <row r="39" spans="1:5" ht="12.75" customHeight="1">
      <c r="A39" s="38" t="s">
        <v>276</v>
      </c>
      <c r="B39" s="36">
        <v>230</v>
      </c>
      <c r="C39" s="93">
        <v>60</v>
      </c>
      <c r="D39" s="93">
        <v>267.6</v>
      </c>
      <c r="E39" s="53">
        <f t="shared" si="1"/>
        <v>-207.60000000000002</v>
      </c>
    </row>
    <row r="40" spans="1:11" ht="12.75" customHeight="1">
      <c r="A40" s="38" t="s">
        <v>263</v>
      </c>
      <c r="B40" s="36">
        <v>240</v>
      </c>
      <c r="C40" s="93"/>
      <c r="D40" s="93"/>
      <c r="E40" s="53"/>
      <c r="J40" s="99"/>
      <c r="K40" s="95"/>
    </row>
    <row r="41" spans="1:5" ht="13.5" customHeight="1">
      <c r="A41" s="38" t="s">
        <v>264</v>
      </c>
      <c r="B41" s="36">
        <v>250</v>
      </c>
      <c r="C41" s="93"/>
      <c r="D41" s="93"/>
      <c r="E41" s="53"/>
    </row>
    <row r="42" spans="1:8" ht="15" customHeight="1">
      <c r="A42" s="38" t="s">
        <v>265</v>
      </c>
      <c r="B42" s="36">
        <v>270</v>
      </c>
      <c r="C42" s="53"/>
      <c r="D42" s="53"/>
      <c r="E42" s="93">
        <f>D14+D15-D16</f>
        <v>0.1000000000349246</v>
      </c>
      <c r="F42" s="95"/>
      <c r="H42" s="98"/>
    </row>
    <row r="43" ht="21.75" customHeight="1"/>
    <row r="44" ht="11.25" customHeight="1"/>
    <row r="45" ht="32.25" customHeight="1"/>
    <row r="46" ht="11.25" customHeight="1"/>
  </sheetData>
  <sheetProtection/>
  <mergeCells count="10">
    <mergeCell ref="B11:B12"/>
    <mergeCell ref="C11:C12"/>
    <mergeCell ref="D11:D12"/>
    <mergeCell ref="E11:E12"/>
    <mergeCell ref="A1:E1"/>
    <mergeCell ref="A2:E2"/>
    <mergeCell ref="B5:E5"/>
    <mergeCell ref="B6:E6"/>
    <mergeCell ref="B7:E7"/>
    <mergeCell ref="A11:A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42"/>
  <sheetViews>
    <sheetView view="pageBreakPreview" zoomScaleSheetLayoutView="100" zoomScalePageLayoutView="0" workbookViewId="0" topLeftCell="B22">
      <selection activeCell="B43" sqref="A43:IV53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</cols>
  <sheetData>
    <row r="1" spans="1:5" ht="12.75">
      <c r="A1" s="225" t="s">
        <v>266</v>
      </c>
      <c r="B1" s="225"/>
      <c r="C1" s="225"/>
      <c r="D1" s="225"/>
      <c r="E1" s="225"/>
    </row>
    <row r="2" spans="1:5" ht="17.25" customHeight="1">
      <c r="A2" s="226" t="s">
        <v>280</v>
      </c>
      <c r="B2" s="226"/>
      <c r="C2" s="226"/>
      <c r="D2" s="226"/>
      <c r="E2" s="226"/>
    </row>
    <row r="3" ht="15.75">
      <c r="A3" s="34"/>
    </row>
    <row r="4" spans="1:5" s="13" customFormat="1" ht="24.75" customHeight="1">
      <c r="A4" s="26" t="s">
        <v>237</v>
      </c>
      <c r="B4" s="27" t="s">
        <v>238</v>
      </c>
      <c r="C4" s="26"/>
      <c r="D4" s="26"/>
      <c r="E4" s="28"/>
    </row>
    <row r="5" spans="1:5" s="13" customFormat="1" ht="24.75" customHeight="1">
      <c r="A5" s="26" t="s">
        <v>245</v>
      </c>
      <c r="B5" s="227" t="s">
        <v>120</v>
      </c>
      <c r="C5" s="227"/>
      <c r="D5" s="227"/>
      <c r="E5" s="227"/>
    </row>
    <row r="6" spans="1:5" s="13" customFormat="1" ht="24.75" customHeight="1">
      <c r="A6" s="26" t="s">
        <v>241</v>
      </c>
      <c r="B6" s="228" t="s">
        <v>242</v>
      </c>
      <c r="C6" s="228"/>
      <c r="D6" s="228"/>
      <c r="E6" s="228"/>
    </row>
    <row r="7" spans="1:5" s="13" customFormat="1" ht="24.75" customHeight="1">
      <c r="A7" s="26" t="s">
        <v>239</v>
      </c>
      <c r="B7" s="227" t="s">
        <v>240</v>
      </c>
      <c r="C7" s="227"/>
      <c r="D7" s="227"/>
      <c r="E7" s="227"/>
    </row>
    <row r="8" spans="1:5" s="13" customFormat="1" ht="24.75" customHeight="1">
      <c r="A8" s="26" t="s">
        <v>244</v>
      </c>
      <c r="B8" s="27" t="s">
        <v>385</v>
      </c>
      <c r="C8" s="26"/>
      <c r="D8" s="26"/>
      <c r="E8" s="28"/>
    </row>
    <row r="9" spans="1:5" s="13" customFormat="1" ht="24.75" customHeight="1">
      <c r="A9" s="26" t="s">
        <v>284</v>
      </c>
      <c r="B9" s="27" t="s">
        <v>286</v>
      </c>
      <c r="C9" s="26"/>
      <c r="D9" s="26"/>
      <c r="E9" s="28"/>
    </row>
    <row r="10" spans="1:5" s="13" customFormat="1" ht="24.75" customHeight="1">
      <c r="A10" s="26" t="s">
        <v>243</v>
      </c>
      <c r="B10" s="27" t="s">
        <v>230</v>
      </c>
      <c r="C10" s="26"/>
      <c r="D10" s="26"/>
      <c r="E10" s="28"/>
    </row>
    <row r="11" spans="1:5" s="40" customFormat="1" ht="22.5" customHeight="1">
      <c r="A11" s="224" t="s">
        <v>251</v>
      </c>
      <c r="B11" s="224" t="s">
        <v>252</v>
      </c>
      <c r="C11" s="224" t="s">
        <v>268</v>
      </c>
      <c r="D11" s="223" t="s">
        <v>267</v>
      </c>
      <c r="E11" s="224" t="s">
        <v>253</v>
      </c>
    </row>
    <row r="12" spans="1:5" s="40" customFormat="1" ht="23.25" customHeight="1">
      <c r="A12" s="224"/>
      <c r="B12" s="224"/>
      <c r="C12" s="224"/>
      <c r="D12" s="223"/>
      <c r="E12" s="224"/>
    </row>
    <row r="13" spans="1:5" ht="13.5" customHeight="1">
      <c r="A13" s="36">
        <v>1</v>
      </c>
      <c r="B13" s="37">
        <v>2</v>
      </c>
      <c r="C13" s="36">
        <v>3</v>
      </c>
      <c r="D13" s="36">
        <v>4</v>
      </c>
      <c r="E13" s="36">
        <v>5</v>
      </c>
    </row>
    <row r="14" spans="1:5" ht="25.5" customHeight="1">
      <c r="A14" s="51" t="s">
        <v>282</v>
      </c>
      <c r="B14" s="52" t="s">
        <v>283</v>
      </c>
      <c r="C14" s="54">
        <v>14932.7</v>
      </c>
      <c r="D14" s="54">
        <f>C14</f>
        <v>14932.7</v>
      </c>
      <c r="E14" s="53">
        <f>C14-D14</f>
        <v>0</v>
      </c>
    </row>
    <row r="15" spans="1:5" ht="27" customHeight="1">
      <c r="A15" s="38" t="s">
        <v>281</v>
      </c>
      <c r="B15" s="42" t="s">
        <v>42</v>
      </c>
      <c r="C15" s="93">
        <f>60945+5955.7</f>
        <v>66900.7</v>
      </c>
      <c r="D15" s="93">
        <f>C15</f>
        <v>66900.7</v>
      </c>
      <c r="E15" s="54">
        <f>C15-D15</f>
        <v>0</v>
      </c>
    </row>
    <row r="16" spans="1:5" ht="13.5" customHeight="1">
      <c r="A16" s="38" t="s">
        <v>269</v>
      </c>
      <c r="B16" s="42" t="s">
        <v>44</v>
      </c>
      <c r="C16" s="93">
        <f>C17+C29</f>
        <v>66900.7</v>
      </c>
      <c r="D16" s="93">
        <f>D17+D29</f>
        <v>81833.40000000001</v>
      </c>
      <c r="E16" s="94">
        <f>C16-D16</f>
        <v>-14932.700000000012</v>
      </c>
    </row>
    <row r="17" spans="1:5" ht="40.5" customHeight="1">
      <c r="A17" s="41" t="s">
        <v>270</v>
      </c>
      <c r="B17" s="42"/>
      <c r="C17" s="94">
        <f>SUM(C18:C28)</f>
        <v>51886.7</v>
      </c>
      <c r="D17" s="94">
        <f>SUM(D18:D28)</f>
        <v>59243.100000000006</v>
      </c>
      <c r="E17" s="54">
        <f>C17-D17</f>
        <v>-7356.400000000009</v>
      </c>
    </row>
    <row r="18" spans="1:5" ht="13.5" customHeight="1">
      <c r="A18" s="38" t="s">
        <v>234</v>
      </c>
      <c r="B18" s="42" t="s">
        <v>45</v>
      </c>
      <c r="C18" s="93">
        <f>19335+1750+4779.2+671</f>
        <v>26535.2</v>
      </c>
      <c r="D18" s="93">
        <f>27782.4+2453.5</f>
        <v>30235.9</v>
      </c>
      <c r="E18" s="93">
        <f>C18-D18</f>
        <v>-3700.7000000000007</v>
      </c>
    </row>
    <row r="19" spans="1:5" ht="14.25" customHeight="1">
      <c r="A19" s="38" t="s">
        <v>29</v>
      </c>
      <c r="B19" s="42" t="s">
        <v>46</v>
      </c>
      <c r="C19" s="93"/>
      <c r="D19" s="93"/>
      <c r="E19" s="93">
        <f aca="true" t="shared" si="0" ref="E19:E28">C19-D19</f>
        <v>0</v>
      </c>
    </row>
    <row r="20" spans="1:5" ht="12.75" customHeight="1">
      <c r="A20" s="38" t="s">
        <v>254</v>
      </c>
      <c r="B20" s="42" t="s">
        <v>53</v>
      </c>
      <c r="C20" s="93"/>
      <c r="D20" s="93"/>
      <c r="E20" s="93">
        <f t="shared" si="0"/>
        <v>0</v>
      </c>
    </row>
    <row r="21" spans="1:5" ht="26.25" customHeight="1">
      <c r="A21" s="38" t="s">
        <v>255</v>
      </c>
      <c r="B21" s="42" t="s">
        <v>54</v>
      </c>
      <c r="C21" s="93">
        <f>596+387+150.3+96.1</f>
        <v>1229.3999999999999</v>
      </c>
      <c r="D21" s="93">
        <f>628.1+411.2</f>
        <v>1039.3</v>
      </c>
      <c r="E21" s="93">
        <f t="shared" si="0"/>
        <v>190.0999999999999</v>
      </c>
    </row>
    <row r="22" spans="1:5" ht="12" customHeight="1">
      <c r="A22" s="38" t="s">
        <v>271</v>
      </c>
      <c r="B22" s="42" t="s">
        <v>55</v>
      </c>
      <c r="C22" s="93"/>
      <c r="D22" s="93"/>
      <c r="E22" s="93">
        <f t="shared" si="0"/>
        <v>0</v>
      </c>
    </row>
    <row r="23" spans="1:5" ht="12" customHeight="1">
      <c r="A23" s="38" t="s">
        <v>272</v>
      </c>
      <c r="B23" s="42">
        <v>80</v>
      </c>
      <c r="C23" s="93"/>
      <c r="D23" s="93"/>
      <c r="E23" s="93">
        <f t="shared" si="0"/>
        <v>0</v>
      </c>
    </row>
    <row r="24" spans="1:5" ht="13.5" customHeight="1">
      <c r="A24" s="38" t="s">
        <v>256</v>
      </c>
      <c r="B24" s="42" t="s">
        <v>58</v>
      </c>
      <c r="C24" s="93"/>
      <c r="D24" s="93"/>
      <c r="E24" s="93">
        <f t="shared" si="0"/>
        <v>0</v>
      </c>
    </row>
    <row r="25" spans="1:5" ht="12" customHeight="1">
      <c r="A25" s="38" t="s">
        <v>273</v>
      </c>
      <c r="B25" s="42">
        <v>100</v>
      </c>
      <c r="C25" s="93">
        <f>1050+259.1</f>
        <v>1309.1</v>
      </c>
      <c r="D25" s="93">
        <v>1052.8</v>
      </c>
      <c r="E25" s="93">
        <f t="shared" si="0"/>
        <v>256.29999999999995</v>
      </c>
    </row>
    <row r="26" spans="1:5" ht="13.5" customHeight="1">
      <c r="A26" s="38" t="s">
        <v>274</v>
      </c>
      <c r="B26" s="36">
        <v>110</v>
      </c>
      <c r="C26" s="93"/>
      <c r="D26" s="93"/>
      <c r="E26" s="93">
        <f t="shared" si="0"/>
        <v>0</v>
      </c>
    </row>
    <row r="27" spans="1:5" ht="15" customHeight="1">
      <c r="A27" s="38" t="s">
        <v>275</v>
      </c>
      <c r="B27" s="36">
        <v>120</v>
      </c>
      <c r="C27" s="93"/>
      <c r="D27" s="93"/>
      <c r="E27" s="93">
        <f t="shared" si="0"/>
        <v>0</v>
      </c>
    </row>
    <row r="28" spans="1:5" ht="14.25" customHeight="1">
      <c r="A28" s="38" t="s">
        <v>276</v>
      </c>
      <c r="B28" s="36">
        <v>130</v>
      </c>
      <c r="C28" s="93">
        <f>689+524+21600</f>
        <v>22813</v>
      </c>
      <c r="D28" s="93">
        <f>750.2+524+25640.9</f>
        <v>26915.100000000002</v>
      </c>
      <c r="E28" s="93">
        <f t="shared" si="0"/>
        <v>-4102.100000000002</v>
      </c>
    </row>
    <row r="29" spans="1:5" ht="38.25" customHeight="1">
      <c r="A29" s="41" t="s">
        <v>277</v>
      </c>
      <c r="B29" s="36"/>
      <c r="C29" s="94">
        <f>SUM(C30:C41)</f>
        <v>15014</v>
      </c>
      <c r="D29" s="94">
        <f>SUM(D30:D41)</f>
        <v>22590.3</v>
      </c>
      <c r="E29" s="94">
        <f>C29-D29</f>
        <v>-7576.299999999999</v>
      </c>
    </row>
    <row r="30" spans="1:5" ht="15" customHeight="1">
      <c r="A30" s="38" t="s">
        <v>257</v>
      </c>
      <c r="B30" s="36">
        <v>140</v>
      </c>
      <c r="C30" s="93">
        <f>3269+8905</f>
        <v>12174</v>
      </c>
      <c r="D30" s="93">
        <f>11514.7+4682</f>
        <v>16196.7</v>
      </c>
      <c r="E30" s="93">
        <f>C30-D30</f>
        <v>-4022.7000000000007</v>
      </c>
    </row>
    <row r="31" spans="1:5" ht="15.75" customHeight="1">
      <c r="A31" s="38" t="s">
        <v>236</v>
      </c>
      <c r="B31" s="36">
        <v>150</v>
      </c>
      <c r="C31" s="93"/>
      <c r="D31" s="93"/>
      <c r="E31" s="93">
        <f aca="true" t="shared" si="1" ref="E31:E37">C31-D31</f>
        <v>0</v>
      </c>
    </row>
    <row r="32" spans="1:5" ht="14.25" customHeight="1">
      <c r="A32" s="38" t="s">
        <v>258</v>
      </c>
      <c r="B32" s="36">
        <v>160</v>
      </c>
      <c r="C32" s="93"/>
      <c r="D32" s="93"/>
      <c r="E32" s="93">
        <f t="shared" si="1"/>
        <v>0</v>
      </c>
    </row>
    <row r="33" spans="1:5" ht="15" customHeight="1">
      <c r="A33" s="38" t="s">
        <v>235</v>
      </c>
      <c r="B33" s="36">
        <v>170</v>
      </c>
      <c r="C33" s="93">
        <v>2800</v>
      </c>
      <c r="D33" s="93">
        <v>5008.5</v>
      </c>
      <c r="E33" s="93">
        <f t="shared" si="1"/>
        <v>-2208.5</v>
      </c>
    </row>
    <row r="34" spans="1:5" ht="14.25" customHeight="1">
      <c r="A34" s="38" t="s">
        <v>259</v>
      </c>
      <c r="B34" s="36">
        <v>180</v>
      </c>
      <c r="C34" s="53"/>
      <c r="D34" s="53"/>
      <c r="E34" s="93">
        <f t="shared" si="1"/>
        <v>0</v>
      </c>
    </row>
    <row r="35" spans="1:5" ht="13.5" customHeight="1">
      <c r="A35" s="38" t="s">
        <v>260</v>
      </c>
      <c r="B35" s="36">
        <v>190</v>
      </c>
      <c r="C35" s="53"/>
      <c r="D35" s="53"/>
      <c r="E35" s="93">
        <f t="shared" si="1"/>
        <v>0</v>
      </c>
    </row>
    <row r="36" spans="1:5" ht="15" customHeight="1">
      <c r="A36" s="38" t="s">
        <v>261</v>
      </c>
      <c r="B36" s="36">
        <v>200</v>
      </c>
      <c r="C36" s="53"/>
      <c r="D36" s="53"/>
      <c r="E36" s="93">
        <f t="shared" si="1"/>
        <v>0</v>
      </c>
    </row>
    <row r="37" spans="1:5" ht="13.5" customHeight="1">
      <c r="A37" s="38" t="s">
        <v>381</v>
      </c>
      <c r="B37" s="36">
        <v>210</v>
      </c>
      <c r="C37" s="53">
        <v>40</v>
      </c>
      <c r="D37" s="53">
        <f>2397.9-1012.8</f>
        <v>1385.1000000000001</v>
      </c>
      <c r="E37" s="93">
        <f t="shared" si="1"/>
        <v>-1345.1000000000001</v>
      </c>
    </row>
    <row r="38" spans="1:5" ht="14.25" customHeight="1">
      <c r="A38" s="38" t="s">
        <v>262</v>
      </c>
      <c r="B38" s="36">
        <v>220</v>
      </c>
      <c r="C38" s="53"/>
      <c r="D38" s="53"/>
      <c r="E38" s="53"/>
    </row>
    <row r="39" spans="1:5" ht="12.75" customHeight="1">
      <c r="A39" s="38" t="s">
        <v>276</v>
      </c>
      <c r="B39" s="36">
        <v>230</v>
      </c>
      <c r="C39" s="53"/>
      <c r="D39" s="53"/>
      <c r="E39" s="53"/>
    </row>
    <row r="40" spans="1:5" ht="12.75" customHeight="1">
      <c r="A40" s="38" t="s">
        <v>263</v>
      </c>
      <c r="B40" s="36">
        <v>240</v>
      </c>
      <c r="C40" s="53"/>
      <c r="D40" s="53"/>
      <c r="E40" s="53"/>
    </row>
    <row r="41" spans="1:5" ht="13.5" customHeight="1">
      <c r="A41" s="38" t="s">
        <v>264</v>
      </c>
      <c r="B41" s="36">
        <v>250</v>
      </c>
      <c r="C41" s="53"/>
      <c r="D41" s="53"/>
      <c r="E41" s="53"/>
    </row>
    <row r="42" spans="1:5" ht="15" customHeight="1">
      <c r="A42" s="38" t="s">
        <v>265</v>
      </c>
      <c r="B42" s="36">
        <v>270</v>
      </c>
      <c r="C42" s="53"/>
      <c r="D42" s="53"/>
      <c r="E42" s="97">
        <f>D14+D15-D16</f>
        <v>0</v>
      </c>
    </row>
  </sheetData>
  <sheetProtection/>
  <mergeCells count="10">
    <mergeCell ref="A1:E1"/>
    <mergeCell ref="A2:E2"/>
    <mergeCell ref="B5:E5"/>
    <mergeCell ref="B6:E6"/>
    <mergeCell ref="B7:E7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tabSelected="1" view="pageBreakPreview" zoomScaleSheetLayoutView="100" zoomScalePageLayoutView="0" workbookViewId="0" topLeftCell="D28">
      <selection activeCell="G59" sqref="G59"/>
    </sheetView>
  </sheetViews>
  <sheetFormatPr defaultColWidth="9.140625" defaultRowHeight="12.75"/>
  <cols>
    <col min="1" max="1" width="47.28125" style="2" customWidth="1"/>
    <col min="2" max="2" width="9.00390625" style="2" customWidth="1"/>
    <col min="3" max="3" width="19.57421875" style="2" customWidth="1"/>
    <col min="4" max="4" width="19.8515625" style="2" customWidth="1"/>
    <col min="5" max="5" width="19.57421875" style="2" customWidth="1"/>
    <col min="6" max="6" width="22.140625" style="2" customWidth="1"/>
    <col min="7" max="7" width="14.28125" style="2" customWidth="1"/>
    <col min="8" max="8" width="12.7109375" style="13" customWidth="1"/>
    <col min="9" max="16384" width="9.140625" style="13" customWidth="1"/>
  </cols>
  <sheetData>
    <row r="1" spans="1:7" ht="18.75">
      <c r="A1" s="1"/>
      <c r="B1" s="1"/>
      <c r="C1" s="1"/>
      <c r="D1" s="1"/>
      <c r="E1" s="1"/>
      <c r="G1" s="3"/>
    </row>
    <row r="2" spans="1:7" ht="12.75">
      <c r="A2" s="229" t="s">
        <v>247</v>
      </c>
      <c r="B2" s="229"/>
      <c r="C2" s="229"/>
      <c r="D2" s="229"/>
      <c r="E2" s="229"/>
      <c r="F2" s="229"/>
      <c r="G2" s="229"/>
    </row>
    <row r="3" spans="1:8" ht="18.75">
      <c r="A3" s="4"/>
      <c r="B3" s="4"/>
      <c r="C3" s="4"/>
      <c r="D3" s="4"/>
      <c r="E3" s="4"/>
      <c r="F3" s="22"/>
      <c r="G3" s="30"/>
      <c r="H3" s="2"/>
    </row>
    <row r="4" spans="1:8" ht="24.75" customHeight="1">
      <c r="A4" s="44" t="s">
        <v>237</v>
      </c>
      <c r="B4" s="45" t="s">
        <v>238</v>
      </c>
      <c r="C4" s="44"/>
      <c r="D4" s="44"/>
      <c r="E4" s="46"/>
      <c r="F4" s="44"/>
      <c r="G4" s="47"/>
      <c r="H4" s="48" t="s">
        <v>246</v>
      </c>
    </row>
    <row r="5" spans="1:8" ht="24.75" customHeight="1">
      <c r="A5" s="44" t="s">
        <v>245</v>
      </c>
      <c r="B5" s="233" t="s">
        <v>120</v>
      </c>
      <c r="C5" s="233"/>
      <c r="D5" s="233"/>
      <c r="E5" s="233"/>
      <c r="F5" s="233"/>
      <c r="G5" s="47"/>
      <c r="H5" s="49" t="s">
        <v>21</v>
      </c>
    </row>
    <row r="6" spans="1:8" ht="24.75" customHeight="1">
      <c r="A6" s="44" t="s">
        <v>241</v>
      </c>
      <c r="B6" s="234" t="s">
        <v>242</v>
      </c>
      <c r="C6" s="234"/>
      <c r="D6" s="234"/>
      <c r="E6" s="234"/>
      <c r="F6" s="234"/>
      <c r="G6" s="23" t="s">
        <v>231</v>
      </c>
      <c r="H6" s="24" t="s">
        <v>232</v>
      </c>
    </row>
    <row r="7" spans="1:8" ht="24.75" customHeight="1">
      <c r="A7" s="44" t="s">
        <v>239</v>
      </c>
      <c r="B7" s="233" t="s">
        <v>240</v>
      </c>
      <c r="C7" s="233"/>
      <c r="D7" s="233"/>
      <c r="E7" s="233"/>
      <c r="F7" s="233"/>
      <c r="G7" s="23" t="s">
        <v>233</v>
      </c>
      <c r="H7" s="24">
        <v>38370099</v>
      </c>
    </row>
    <row r="8" spans="1:8" ht="24.75" customHeight="1">
      <c r="A8" s="44" t="s">
        <v>244</v>
      </c>
      <c r="B8" s="45" t="s">
        <v>385</v>
      </c>
      <c r="C8" s="44"/>
      <c r="D8" s="44"/>
      <c r="E8" s="46"/>
      <c r="F8" s="44"/>
      <c r="G8" s="44"/>
      <c r="H8" s="47"/>
    </row>
    <row r="9" spans="1:8" ht="24.75" customHeight="1">
      <c r="A9" s="44" t="s">
        <v>243</v>
      </c>
      <c r="B9" s="45" t="s">
        <v>230</v>
      </c>
      <c r="C9" s="44"/>
      <c r="D9" s="44"/>
      <c r="E9" s="46"/>
      <c r="F9" s="44"/>
      <c r="G9" s="44"/>
      <c r="H9" s="47"/>
    </row>
    <row r="10" spans="1:8" ht="15.75">
      <c r="A10" s="12"/>
      <c r="B10" s="12"/>
      <c r="C10" s="12"/>
      <c r="D10" s="12"/>
      <c r="E10" s="12"/>
      <c r="F10" s="5"/>
      <c r="G10" s="5"/>
      <c r="H10" s="2"/>
    </row>
    <row r="11" spans="2:7" ht="18.75">
      <c r="B11" s="7"/>
      <c r="F11" s="91"/>
      <c r="G11" s="92"/>
    </row>
    <row r="12" spans="1:7" ht="15.75" customHeight="1">
      <c r="A12" s="6" t="s">
        <v>22</v>
      </c>
      <c r="B12" s="6" t="s">
        <v>21</v>
      </c>
      <c r="C12" s="6" t="s">
        <v>215</v>
      </c>
      <c r="D12" s="230" t="s">
        <v>248</v>
      </c>
      <c r="E12" s="230"/>
      <c r="F12" s="231" t="s">
        <v>250</v>
      </c>
      <c r="G12" s="231" t="s">
        <v>229</v>
      </c>
    </row>
    <row r="13" spans="1:7" ht="15.75">
      <c r="A13" s="6" t="s">
        <v>23</v>
      </c>
      <c r="B13" s="6" t="s">
        <v>24</v>
      </c>
      <c r="C13" s="6" t="s">
        <v>216</v>
      </c>
      <c r="D13" s="230" t="s">
        <v>249</v>
      </c>
      <c r="E13" s="230"/>
      <c r="F13" s="231"/>
      <c r="G13" s="231"/>
    </row>
    <row r="14" spans="1:7" ht="15.75">
      <c r="A14" s="6" t="s">
        <v>25</v>
      </c>
      <c r="B14" s="6" t="s">
        <v>26</v>
      </c>
      <c r="C14" s="6" t="s">
        <v>27</v>
      </c>
      <c r="D14" s="6" t="s">
        <v>217</v>
      </c>
      <c r="E14" s="6" t="s">
        <v>28</v>
      </c>
      <c r="F14" s="231"/>
      <c r="G14" s="231"/>
    </row>
    <row r="15" spans="1:7" ht="1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</row>
    <row r="16" spans="1:7" ht="14.25">
      <c r="A16" s="232" t="s">
        <v>278</v>
      </c>
      <c r="B16" s="232"/>
      <c r="C16" s="232"/>
      <c r="D16" s="232"/>
      <c r="E16" s="232"/>
      <c r="F16" s="232"/>
      <c r="G16" s="232"/>
    </row>
    <row r="17" spans="1:7" ht="15">
      <c r="A17" s="14" t="s">
        <v>218</v>
      </c>
      <c r="B17" s="15">
        <v>111</v>
      </c>
      <c r="C17" s="96">
        <f>114330+29195+106244</f>
        <v>249769</v>
      </c>
      <c r="D17" s="96">
        <f>114330+16295</f>
        <v>130625</v>
      </c>
      <c r="E17" s="16">
        <f>D17</f>
        <v>130625</v>
      </c>
      <c r="F17" s="16">
        <f>139055.9</f>
        <v>139055.9</v>
      </c>
      <c r="G17" s="16">
        <f>F17+970.8+412.8</f>
        <v>140439.49999999997</v>
      </c>
    </row>
    <row r="18" spans="1:7" ht="15">
      <c r="A18" s="14" t="s">
        <v>29</v>
      </c>
      <c r="B18" s="15">
        <v>112</v>
      </c>
      <c r="C18" s="96"/>
      <c r="D18" s="96"/>
      <c r="E18" s="16"/>
      <c r="F18" s="16"/>
      <c r="G18" s="16">
        <f aca="true" t="shared" si="0" ref="G18:G34">F18</f>
        <v>0</v>
      </c>
    </row>
    <row r="19" spans="1:7" ht="15">
      <c r="A19" s="14" t="s">
        <v>19</v>
      </c>
      <c r="B19" s="15">
        <v>113</v>
      </c>
      <c r="C19" s="96">
        <f>2061+10017</f>
        <v>12078</v>
      </c>
      <c r="D19" s="96">
        <v>2061</v>
      </c>
      <c r="E19" s="16">
        <f aca="true" t="shared" si="1" ref="E19:E34">D19</f>
        <v>2061</v>
      </c>
      <c r="F19" s="16">
        <v>8487.3</v>
      </c>
      <c r="G19" s="16">
        <f t="shared" si="0"/>
        <v>8487.3</v>
      </c>
    </row>
    <row r="20" spans="1:7" ht="15">
      <c r="A20" s="14" t="s">
        <v>38</v>
      </c>
      <c r="B20" s="15">
        <v>121</v>
      </c>
      <c r="C20" s="96">
        <f>6957+1575.4+4954</f>
        <v>13486.4</v>
      </c>
      <c r="D20" s="96">
        <f>6957+879.4</f>
        <v>7836.4</v>
      </c>
      <c r="E20" s="16">
        <f t="shared" si="1"/>
        <v>7836.4</v>
      </c>
      <c r="F20" s="16">
        <v>5741.6</v>
      </c>
      <c r="G20" s="16">
        <f>F20+3474.2</f>
        <v>9215.8</v>
      </c>
    </row>
    <row r="21" spans="1:7" ht="30">
      <c r="A21" s="14" t="s">
        <v>30</v>
      </c>
      <c r="B21" s="15">
        <v>122</v>
      </c>
      <c r="C21" s="96">
        <f>4103+922+2845</f>
        <v>7870</v>
      </c>
      <c r="D21" s="96">
        <f>4103+514</f>
        <v>4617</v>
      </c>
      <c r="E21" s="16">
        <f t="shared" si="1"/>
        <v>4617</v>
      </c>
      <c r="F21" s="16">
        <v>3569.6</v>
      </c>
      <c r="G21" s="16">
        <f t="shared" si="0"/>
        <v>3569.6</v>
      </c>
    </row>
    <row r="22" spans="1:7" ht="15">
      <c r="A22" s="14" t="s">
        <v>219</v>
      </c>
      <c r="B22" s="15">
        <v>123</v>
      </c>
      <c r="C22" s="96">
        <f>60+216</f>
        <v>276</v>
      </c>
      <c r="D22" s="96">
        <v>60</v>
      </c>
      <c r="E22" s="16">
        <f t="shared" si="1"/>
        <v>60</v>
      </c>
      <c r="F22" s="16">
        <v>267.6</v>
      </c>
      <c r="G22" s="16">
        <f t="shared" si="0"/>
        <v>267.6</v>
      </c>
    </row>
    <row r="23" spans="1:7" ht="30">
      <c r="A23" s="14" t="s">
        <v>220</v>
      </c>
      <c r="B23" s="15">
        <v>124</v>
      </c>
      <c r="C23" s="96">
        <f>2625+584.2+1786</f>
        <v>4995.2</v>
      </c>
      <c r="D23" s="96">
        <f>2625+326.2</f>
        <v>2951.2</v>
      </c>
      <c r="E23" s="16">
        <f t="shared" si="1"/>
        <v>2951.2</v>
      </c>
      <c r="F23" s="16">
        <v>2209.7</v>
      </c>
      <c r="G23" s="16">
        <f t="shared" si="0"/>
        <v>2209.7</v>
      </c>
    </row>
    <row r="24" spans="1:7" ht="15">
      <c r="A24" s="14" t="s">
        <v>31</v>
      </c>
      <c r="B24" s="15">
        <v>141</v>
      </c>
      <c r="C24" s="96">
        <f>10121+14900</f>
        <v>25021</v>
      </c>
      <c r="D24" s="96">
        <v>10121</v>
      </c>
      <c r="E24" s="16">
        <f t="shared" si="1"/>
        <v>10121</v>
      </c>
      <c r="F24" s="16">
        <v>12693.6</v>
      </c>
      <c r="G24" s="16">
        <f t="shared" si="0"/>
        <v>12693.6</v>
      </c>
    </row>
    <row r="25" spans="1:7" ht="30">
      <c r="A25" s="14" t="s">
        <v>221</v>
      </c>
      <c r="B25" s="15">
        <v>142</v>
      </c>
      <c r="C25" s="96">
        <f>300+75</f>
        <v>375</v>
      </c>
      <c r="D25" s="96">
        <v>300</v>
      </c>
      <c r="E25" s="16">
        <f t="shared" si="1"/>
        <v>300</v>
      </c>
      <c r="F25" s="16">
        <v>375.4</v>
      </c>
      <c r="G25" s="16">
        <f t="shared" si="0"/>
        <v>375.4</v>
      </c>
    </row>
    <row r="26" spans="1:7" ht="30">
      <c r="A26" s="14" t="s">
        <v>222</v>
      </c>
      <c r="B26" s="15">
        <v>144</v>
      </c>
      <c r="C26" s="96">
        <v>2287</v>
      </c>
      <c r="D26" s="96"/>
      <c r="E26" s="16"/>
      <c r="F26" s="16"/>
      <c r="G26" s="16">
        <f t="shared" si="0"/>
        <v>0</v>
      </c>
    </row>
    <row r="27" spans="1:7" ht="15">
      <c r="A27" s="14" t="s">
        <v>223</v>
      </c>
      <c r="B27" s="15">
        <v>149</v>
      </c>
      <c r="C27" s="96">
        <f>6000+7187</f>
        <v>13187</v>
      </c>
      <c r="D27" s="96">
        <v>6000</v>
      </c>
      <c r="E27" s="16">
        <f t="shared" si="1"/>
        <v>6000</v>
      </c>
      <c r="F27" s="16">
        <v>13869.6</v>
      </c>
      <c r="G27" s="16">
        <f>F27+2887</f>
        <v>16756.6</v>
      </c>
    </row>
    <row r="28" spans="1:7" ht="15">
      <c r="A28" s="14" t="s">
        <v>32</v>
      </c>
      <c r="B28" s="15">
        <v>151</v>
      </c>
      <c r="C28" s="96">
        <f>16085+7732</f>
        <v>23817</v>
      </c>
      <c r="D28" s="96">
        <v>16085</v>
      </c>
      <c r="E28" s="16">
        <f t="shared" si="1"/>
        <v>16085</v>
      </c>
      <c r="F28" s="16">
        <v>12352.4</v>
      </c>
      <c r="G28" s="16">
        <f>F28+1376.4-17.5</f>
        <v>13711.3</v>
      </c>
    </row>
    <row r="29" spans="1:7" ht="15">
      <c r="A29" s="14" t="s">
        <v>33</v>
      </c>
      <c r="B29" s="15">
        <v>152</v>
      </c>
      <c r="C29" s="96">
        <f>1266+1306</f>
        <v>2572</v>
      </c>
      <c r="D29" s="96">
        <v>1266</v>
      </c>
      <c r="E29" s="16">
        <f t="shared" si="1"/>
        <v>1266</v>
      </c>
      <c r="F29" s="16">
        <v>1116.5</v>
      </c>
      <c r="G29" s="16">
        <f>F29-63.9</f>
        <v>1052.6</v>
      </c>
    </row>
    <row r="30" spans="1:7" ht="15">
      <c r="A30" s="14" t="s">
        <v>224</v>
      </c>
      <c r="B30" s="15">
        <v>159</v>
      </c>
      <c r="C30" s="96">
        <f>4220+23610</f>
        <v>27830</v>
      </c>
      <c r="D30" s="96">
        <v>4220</v>
      </c>
      <c r="E30" s="16">
        <f t="shared" si="1"/>
        <v>4220</v>
      </c>
      <c r="F30" s="16">
        <f>9991.3+18154.2</f>
        <v>28145.5</v>
      </c>
      <c r="G30" s="16">
        <f>F30+16808.3</f>
        <v>44953.8</v>
      </c>
    </row>
    <row r="31" spans="1:7" ht="30">
      <c r="A31" s="14" t="s">
        <v>34</v>
      </c>
      <c r="B31" s="15">
        <v>161</v>
      </c>
      <c r="C31" s="96">
        <f>930+899</f>
        <v>1829</v>
      </c>
      <c r="D31" s="96">
        <v>930</v>
      </c>
      <c r="E31" s="16">
        <f t="shared" si="1"/>
        <v>930</v>
      </c>
      <c r="F31" s="16">
        <v>581.6</v>
      </c>
      <c r="G31" s="16">
        <f t="shared" si="0"/>
        <v>581.6</v>
      </c>
    </row>
    <row r="32" spans="1:7" ht="15">
      <c r="A32" s="14" t="s">
        <v>36</v>
      </c>
      <c r="B32" s="15">
        <v>169</v>
      </c>
      <c r="C32" s="96">
        <v>4339</v>
      </c>
      <c r="D32" s="96">
        <v>4339</v>
      </c>
      <c r="E32" s="16">
        <f t="shared" si="1"/>
        <v>4339</v>
      </c>
      <c r="F32" s="16">
        <v>4396</v>
      </c>
      <c r="G32" s="16">
        <f t="shared" si="0"/>
        <v>4396</v>
      </c>
    </row>
    <row r="33" spans="1:7" ht="15">
      <c r="A33" s="14" t="s">
        <v>82</v>
      </c>
      <c r="B33" s="15">
        <v>322</v>
      </c>
      <c r="C33" s="96">
        <v>796</v>
      </c>
      <c r="D33" s="96">
        <v>796</v>
      </c>
      <c r="E33" s="16">
        <f t="shared" si="1"/>
        <v>796</v>
      </c>
      <c r="F33" s="16">
        <v>796</v>
      </c>
      <c r="G33" s="16">
        <f t="shared" si="0"/>
        <v>796</v>
      </c>
    </row>
    <row r="34" spans="1:8" ht="15">
      <c r="A34" s="14" t="s">
        <v>37</v>
      </c>
      <c r="B34" s="15">
        <v>324</v>
      </c>
      <c r="C34" s="96">
        <f>26850+2040+28392</f>
        <v>57282</v>
      </c>
      <c r="D34" s="96">
        <f>26850+2040</f>
        <v>28890</v>
      </c>
      <c r="E34" s="16">
        <f t="shared" si="1"/>
        <v>28890</v>
      </c>
      <c r="F34" s="16">
        <v>28537.9</v>
      </c>
      <c r="G34" s="16">
        <f t="shared" si="0"/>
        <v>28537.9</v>
      </c>
      <c r="H34" s="55"/>
    </row>
    <row r="35" spans="1:7" ht="15">
      <c r="A35" s="18" t="s">
        <v>226</v>
      </c>
      <c r="B35" s="10">
        <v>419</v>
      </c>
      <c r="C35" s="96"/>
      <c r="D35" s="96"/>
      <c r="E35" s="16"/>
      <c r="F35" s="16"/>
      <c r="G35" s="16"/>
    </row>
    <row r="36" spans="1:8" ht="15">
      <c r="A36" s="17" t="s">
        <v>225</v>
      </c>
      <c r="B36" s="10"/>
      <c r="C36" s="11">
        <f>SUM(C17:C35)</f>
        <v>447809.60000000003</v>
      </c>
      <c r="D36" s="11">
        <f>SUM(D17:D35)</f>
        <v>221097.6</v>
      </c>
      <c r="E36" s="11">
        <f>SUM(E17:E35)</f>
        <v>221097.6</v>
      </c>
      <c r="F36" s="11">
        <f>SUM(F17:F35)</f>
        <v>262196.2</v>
      </c>
      <c r="G36" s="11">
        <f>SUM(G17:G35)</f>
        <v>288044.3</v>
      </c>
      <c r="H36" s="55"/>
    </row>
    <row r="37" spans="1:7" ht="14.25">
      <c r="A37" s="232" t="s">
        <v>279</v>
      </c>
      <c r="B37" s="232"/>
      <c r="C37" s="232"/>
      <c r="D37" s="232"/>
      <c r="E37" s="232"/>
      <c r="F37" s="232"/>
      <c r="G37" s="232"/>
    </row>
    <row r="38" spans="1:7" ht="15">
      <c r="A38" s="19" t="s">
        <v>218</v>
      </c>
      <c r="B38" s="10">
        <v>111</v>
      </c>
      <c r="C38" s="16">
        <f>33545+8631.2</f>
        <v>42176.2</v>
      </c>
      <c r="D38" s="16">
        <f>19335+4779.2</f>
        <v>24114.2</v>
      </c>
      <c r="E38" s="16">
        <f>D38</f>
        <v>24114.2</v>
      </c>
      <c r="F38" s="16">
        <v>27782.4</v>
      </c>
      <c r="G38" s="16">
        <f>F38</f>
        <v>27782.4</v>
      </c>
    </row>
    <row r="39" spans="1:7" ht="15">
      <c r="A39" s="14" t="s">
        <v>19</v>
      </c>
      <c r="B39" s="15">
        <v>113</v>
      </c>
      <c r="C39" s="16">
        <f>2000+671</f>
        <v>2671</v>
      </c>
      <c r="D39" s="16">
        <f>1750+671</f>
        <v>2421</v>
      </c>
      <c r="E39" s="16">
        <f>D39</f>
        <v>2421</v>
      </c>
      <c r="F39" s="16">
        <v>2453.5</v>
      </c>
      <c r="G39" s="16">
        <f aca="true" t="shared" si="2" ref="G39:G50">F39</f>
        <v>2453.5</v>
      </c>
    </row>
    <row r="40" spans="1:7" ht="15">
      <c r="A40" s="19" t="s">
        <v>38</v>
      </c>
      <c r="B40" s="10">
        <v>121</v>
      </c>
      <c r="C40" s="16">
        <f>1812+469.1</f>
        <v>2281.1</v>
      </c>
      <c r="D40" s="16">
        <f>1050+259.1</f>
        <v>1309.1</v>
      </c>
      <c r="E40" s="16">
        <f aca="true" t="shared" si="3" ref="E40:E50">D40</f>
        <v>1309.1</v>
      </c>
      <c r="F40" s="16">
        <v>1052.8</v>
      </c>
      <c r="G40" s="16">
        <f t="shared" si="2"/>
        <v>1052.8</v>
      </c>
    </row>
    <row r="41" spans="1:7" ht="30">
      <c r="A41" s="19" t="s">
        <v>30</v>
      </c>
      <c r="B41" s="10">
        <v>122</v>
      </c>
      <c r="C41" s="16">
        <f>1056+270.3</f>
        <v>1326.3</v>
      </c>
      <c r="D41" s="16">
        <f>596+150.3</f>
        <v>746.3</v>
      </c>
      <c r="E41" s="16">
        <f t="shared" si="3"/>
        <v>746.3</v>
      </c>
      <c r="F41" s="16">
        <v>628.1</v>
      </c>
      <c r="G41" s="16">
        <f t="shared" si="2"/>
        <v>628.1</v>
      </c>
    </row>
    <row r="42" spans="1:7" ht="30">
      <c r="A42" s="19" t="s">
        <v>220</v>
      </c>
      <c r="B42" s="10">
        <v>124</v>
      </c>
      <c r="C42" s="16">
        <f>671+174.1</f>
        <v>845.1</v>
      </c>
      <c r="D42" s="16">
        <f>387+96.1</f>
        <v>483.1</v>
      </c>
      <c r="E42" s="16">
        <f t="shared" si="3"/>
        <v>483.1</v>
      </c>
      <c r="F42" s="16">
        <v>411.2</v>
      </c>
      <c r="G42" s="16">
        <f t="shared" si="2"/>
        <v>411.2</v>
      </c>
    </row>
    <row r="43" spans="1:7" ht="15">
      <c r="A43" s="19" t="s">
        <v>31</v>
      </c>
      <c r="B43" s="10">
        <v>141</v>
      </c>
      <c r="C43" s="16">
        <v>17405</v>
      </c>
      <c r="D43" s="16">
        <v>8905</v>
      </c>
      <c r="E43" s="16">
        <f t="shared" si="3"/>
        <v>8905</v>
      </c>
      <c r="F43" s="16">
        <v>11514.7</v>
      </c>
      <c r="G43" s="16">
        <f t="shared" si="2"/>
        <v>11514.7</v>
      </c>
    </row>
    <row r="44" spans="1:7" ht="30">
      <c r="A44" s="19" t="s">
        <v>222</v>
      </c>
      <c r="B44" s="10">
        <v>144</v>
      </c>
      <c r="C44" s="16"/>
      <c r="D44" s="16"/>
      <c r="E44" s="16"/>
      <c r="F44" s="16"/>
      <c r="G44" s="16">
        <f t="shared" si="2"/>
        <v>0</v>
      </c>
    </row>
    <row r="45" spans="1:7" ht="15">
      <c r="A45" s="19" t="s">
        <v>223</v>
      </c>
      <c r="B45" s="10">
        <v>149</v>
      </c>
      <c r="C45" s="16">
        <v>11769</v>
      </c>
      <c r="D45" s="16">
        <v>3269</v>
      </c>
      <c r="E45" s="16">
        <f t="shared" si="3"/>
        <v>3269</v>
      </c>
      <c r="F45" s="16">
        <v>4682</v>
      </c>
      <c r="G45" s="16">
        <f t="shared" si="2"/>
        <v>4682</v>
      </c>
    </row>
    <row r="46" spans="1:7" ht="15">
      <c r="A46" s="19" t="s">
        <v>32</v>
      </c>
      <c r="B46" s="10">
        <v>151</v>
      </c>
      <c r="C46" s="16">
        <v>7178</v>
      </c>
      <c r="D46" s="16">
        <v>2800</v>
      </c>
      <c r="E46" s="16">
        <f t="shared" si="3"/>
        <v>2800</v>
      </c>
      <c r="F46" s="16">
        <v>5008.5</v>
      </c>
      <c r="G46" s="16">
        <f t="shared" si="2"/>
        <v>5008.5</v>
      </c>
    </row>
    <row r="47" spans="1:7" ht="15">
      <c r="A47" s="14" t="s">
        <v>224</v>
      </c>
      <c r="B47" s="15">
        <v>159</v>
      </c>
      <c r="C47" s="16">
        <v>80</v>
      </c>
      <c r="D47" s="16">
        <v>40</v>
      </c>
      <c r="E47" s="16">
        <f t="shared" si="3"/>
        <v>40</v>
      </c>
      <c r="F47" s="16">
        <f>2397.9-1012.8</f>
        <v>1385.1000000000001</v>
      </c>
      <c r="G47" s="16">
        <f t="shared" si="2"/>
        <v>1385.1000000000001</v>
      </c>
    </row>
    <row r="48" spans="1:7" ht="15">
      <c r="A48" s="19" t="s">
        <v>36</v>
      </c>
      <c r="B48" s="10">
        <v>169</v>
      </c>
      <c r="C48" s="16">
        <v>689</v>
      </c>
      <c r="D48" s="16">
        <v>689</v>
      </c>
      <c r="E48" s="16">
        <f t="shared" si="3"/>
        <v>689</v>
      </c>
      <c r="F48" s="16">
        <v>750.2</v>
      </c>
      <c r="G48" s="16">
        <f t="shared" si="2"/>
        <v>750.2</v>
      </c>
    </row>
    <row r="49" spans="1:7" ht="15">
      <c r="A49" s="14" t="s">
        <v>82</v>
      </c>
      <c r="B49" s="15">
        <v>322</v>
      </c>
      <c r="C49" s="16">
        <v>524</v>
      </c>
      <c r="D49" s="16">
        <v>524</v>
      </c>
      <c r="E49" s="16">
        <f t="shared" si="3"/>
        <v>524</v>
      </c>
      <c r="F49" s="16">
        <v>524</v>
      </c>
      <c r="G49" s="16">
        <f t="shared" si="2"/>
        <v>524</v>
      </c>
    </row>
    <row r="50" spans="1:7" ht="15">
      <c r="A50" s="19" t="s">
        <v>37</v>
      </c>
      <c r="B50" s="10">
        <v>324</v>
      </c>
      <c r="C50" s="16">
        <v>43400</v>
      </c>
      <c r="D50" s="16">
        <v>21600</v>
      </c>
      <c r="E50" s="16">
        <f t="shared" si="3"/>
        <v>21600</v>
      </c>
      <c r="F50" s="16">
        <v>25640.9</v>
      </c>
      <c r="G50" s="16">
        <f t="shared" si="2"/>
        <v>25640.9</v>
      </c>
    </row>
    <row r="51" spans="1:7" ht="15">
      <c r="A51" s="17" t="s">
        <v>225</v>
      </c>
      <c r="B51" s="10"/>
      <c r="C51" s="20">
        <f>SUM(C38:C50)</f>
        <v>130344.7</v>
      </c>
      <c r="D51" s="20">
        <f>SUM(D38:D50)</f>
        <v>66900.7</v>
      </c>
      <c r="E51" s="20">
        <f>SUM(E38:E50)</f>
        <v>66900.7</v>
      </c>
      <c r="F51" s="20">
        <f>SUM(F38:F50)</f>
        <v>81833.4</v>
      </c>
      <c r="G51" s="20">
        <f>SUM(G38:G50)</f>
        <v>81833.4</v>
      </c>
    </row>
    <row r="52" spans="1:7" ht="15">
      <c r="A52" s="9" t="s">
        <v>227</v>
      </c>
      <c r="B52" s="10"/>
      <c r="C52" s="11">
        <f>C36+C51</f>
        <v>578154.3</v>
      </c>
      <c r="D52" s="11">
        <f>D36+D51</f>
        <v>287998.3</v>
      </c>
      <c r="E52" s="11">
        <f>E36+E51</f>
        <v>287998.3</v>
      </c>
      <c r="F52" s="11">
        <f>F36+F51</f>
        <v>344029.6</v>
      </c>
      <c r="G52" s="11">
        <f>G36+G51</f>
        <v>369877.69999999995</v>
      </c>
    </row>
  </sheetData>
  <sheetProtection/>
  <mergeCells count="10">
    <mergeCell ref="B7:F7"/>
    <mergeCell ref="A37:G37"/>
    <mergeCell ref="B5:F5"/>
    <mergeCell ref="B6:F6"/>
    <mergeCell ref="A2:G2"/>
    <mergeCell ref="D12:E12"/>
    <mergeCell ref="D13:E13"/>
    <mergeCell ref="F12:F14"/>
    <mergeCell ref="G12:G14"/>
    <mergeCell ref="A16:G16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2020-11-06T04:43:21Z</cp:lastPrinted>
  <dcterms:created xsi:type="dcterms:W3CDTF">1996-10-08T23:32:33Z</dcterms:created>
  <dcterms:modified xsi:type="dcterms:W3CDTF">2020-11-06T05:10:32Z</dcterms:modified>
  <cp:category/>
  <cp:version/>
  <cp:contentType/>
  <cp:contentStatus/>
</cp:coreProperties>
</file>